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7-1-20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33" r:id="rId5"/>
  </pivotCaches>
</workbook>
</file>

<file path=xl/calcChain.xml><?xml version="1.0" encoding="utf-8"?>
<calcChain xmlns="http://schemas.openxmlformats.org/spreadsheetml/2006/main">
  <c r="L3" i="18" l="1"/>
  <c r="L6" i="18"/>
  <c r="H206" i="18"/>
  <c r="H20" i="18" l="1"/>
  <c r="H24" i="18"/>
  <c r="H33" i="18"/>
  <c r="H37" i="18"/>
  <c r="H46" i="18"/>
  <c r="H50" i="18"/>
  <c r="H59" i="18"/>
  <c r="H68" i="18"/>
  <c r="H72" i="18"/>
  <c r="H81" i="18"/>
  <c r="H85" i="18"/>
  <c r="H94" i="18"/>
  <c r="H98" i="18"/>
  <c r="H107" i="18"/>
  <c r="H116" i="18"/>
  <c r="H120" i="18"/>
  <c r="H129" i="18"/>
  <c r="H133" i="18"/>
  <c r="H142" i="18"/>
  <c r="H146" i="18"/>
  <c r="H155" i="18"/>
  <c r="H164" i="18"/>
  <c r="H168" i="18"/>
  <c r="H177" i="18"/>
  <c r="H181" i="18"/>
  <c r="H190" i="18"/>
  <c r="H194" i="18"/>
  <c r="H203" i="18"/>
  <c r="H25" i="18"/>
  <c r="H38" i="18"/>
  <c r="H56" i="18"/>
  <c r="H69" i="18"/>
  <c r="H82" i="18"/>
  <c r="H95" i="18"/>
  <c r="H108" i="18"/>
  <c r="H121" i="18"/>
  <c r="H134" i="18"/>
  <c r="H152" i="18"/>
  <c r="H165" i="18"/>
  <c r="H178" i="18"/>
  <c r="H182" i="18"/>
  <c r="H191" i="18"/>
  <c r="H200" i="18"/>
  <c r="H22" i="18"/>
  <c r="H26" i="18"/>
  <c r="H35" i="18"/>
  <c r="H44" i="18"/>
  <c r="H48" i="18"/>
  <c r="H57" i="18"/>
  <c r="H61" i="18"/>
  <c r="H70" i="18"/>
  <c r="H74" i="18"/>
  <c r="H83" i="18"/>
  <c r="H92" i="18"/>
  <c r="H96" i="18"/>
  <c r="H105" i="18"/>
  <c r="H109" i="18"/>
  <c r="H118" i="18"/>
  <c r="H122" i="18"/>
  <c r="H131" i="18"/>
  <c r="H140" i="18"/>
  <c r="H144" i="18"/>
  <c r="H153" i="18"/>
  <c r="H157" i="18"/>
  <c r="H166" i="18"/>
  <c r="H170" i="18"/>
  <c r="H179" i="18"/>
  <c r="H188" i="18"/>
  <c r="H192" i="18"/>
  <c r="H201" i="18"/>
  <c r="H205" i="18"/>
  <c r="H21" i="18"/>
  <c r="H34" i="18"/>
  <c r="H47" i="18"/>
  <c r="H60" i="18"/>
  <c r="H73" i="18"/>
  <c r="H86" i="18"/>
  <c r="H104" i="18"/>
  <c r="H117" i="18"/>
  <c r="H130" i="18"/>
  <c r="H143" i="18"/>
  <c r="H156" i="18"/>
  <c r="H169" i="18"/>
  <c r="H204" i="18"/>
  <c r="H23" i="18"/>
  <c r="H32" i="18"/>
  <c r="H36" i="18"/>
  <c r="H45" i="18"/>
  <c r="H49" i="18"/>
  <c r="H58" i="18"/>
  <c r="H62" i="18"/>
  <c r="H71" i="18"/>
  <c r="H80" i="18"/>
  <c r="H84" i="18"/>
  <c r="H93" i="18"/>
  <c r="H97" i="18"/>
  <c r="H106" i="18"/>
  <c r="H110" i="18"/>
  <c r="H119" i="18"/>
  <c r="H128" i="18"/>
  <c r="H132" i="18"/>
  <c r="H141" i="18"/>
  <c r="H145" i="18"/>
  <c r="H154" i="18"/>
  <c r="H158" i="18"/>
  <c r="H167" i="18"/>
  <c r="H176" i="18"/>
  <c r="H180" i="18"/>
  <c r="H189" i="18"/>
  <c r="H193" i="18"/>
  <c r="H202" i="18"/>
  <c r="H209" i="18" l="1"/>
  <c r="H197" i="18"/>
  <c r="H185" i="18"/>
  <c r="H173" i="18"/>
  <c r="H161" i="18"/>
  <c r="H149" i="18"/>
  <c r="H137" i="18"/>
  <c r="H125" i="18"/>
  <c r="H113" i="18"/>
  <c r="H101" i="18"/>
  <c r="H89" i="18"/>
  <c r="H77" i="18"/>
  <c r="H65" i="18"/>
  <c r="H53" i="18"/>
  <c r="H41" i="18"/>
  <c r="H136" i="18"/>
  <c r="H40" i="18"/>
  <c r="H210" i="18"/>
  <c r="H174" i="18"/>
  <c r="H150" i="18"/>
  <c r="H138" i="18"/>
  <c r="H102" i="18"/>
  <c r="H90" i="18"/>
  <c r="H66" i="18"/>
  <c r="H208" i="18"/>
  <c r="H196" i="18"/>
  <c r="H184" i="18"/>
  <c r="H172" i="18"/>
  <c r="H160" i="18"/>
  <c r="H148" i="18"/>
  <c r="H124" i="18"/>
  <c r="H112" i="18"/>
  <c r="H100" i="18"/>
  <c r="H88" i="18"/>
  <c r="H76" i="18"/>
  <c r="H64" i="18"/>
  <c r="H52" i="18"/>
  <c r="H198" i="18"/>
  <c r="H186" i="18"/>
  <c r="H162" i="18"/>
  <c r="H126" i="18"/>
  <c r="H114" i="18"/>
  <c r="H78" i="18"/>
  <c r="H54" i="18"/>
  <c r="H42" i="18"/>
  <c r="H211" i="18"/>
  <c r="H207" i="18"/>
  <c r="H199" i="18"/>
  <c r="H195" i="18"/>
  <c r="H187" i="18"/>
  <c r="H183" i="18"/>
  <c r="H175" i="18"/>
  <c r="H171" i="18"/>
  <c r="H163" i="18"/>
  <c r="H159" i="18"/>
  <c r="H151" i="18"/>
  <c r="H147" i="18"/>
  <c r="H139" i="18"/>
  <c r="H135" i="18"/>
  <c r="H127" i="18"/>
  <c r="H123" i="18"/>
  <c r="H115" i="18"/>
  <c r="H111" i="18"/>
  <c r="H103" i="18"/>
  <c r="H99" i="18"/>
  <c r="H91" i="18"/>
  <c r="H87" i="18"/>
  <c r="H79" i="18"/>
  <c r="H75" i="18"/>
  <c r="H67" i="18"/>
  <c r="H63" i="18"/>
  <c r="H55" i="18"/>
  <c r="H51" i="18"/>
  <c r="H43" i="18"/>
  <c r="H39" i="18"/>
  <c r="C5" i="29" l="1"/>
  <c r="K1" i="18"/>
  <c r="O1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B31" i="18"/>
  <c r="D42" i="18"/>
  <c r="B30" i="18"/>
  <c r="D41" i="18"/>
  <c r="D65" i="18" s="1"/>
  <c r="B29" i="18"/>
  <c r="B28" i="18"/>
  <c r="C39" i="18"/>
  <c r="D39" i="18"/>
  <c r="B27" i="18"/>
  <c r="B26" i="18"/>
  <c r="B25" i="18"/>
  <c r="B24" i="18"/>
  <c r="B23" i="18"/>
  <c r="B22" i="18"/>
  <c r="B21" i="18"/>
  <c r="D32" i="18"/>
  <c r="D44" i="18"/>
  <c r="B16" i="18"/>
  <c r="J1" i="18"/>
  <c r="C43" i="18"/>
  <c r="C55" i="18"/>
  <c r="B175" i="18"/>
  <c r="B174" i="18"/>
  <c r="B173" i="18"/>
  <c r="B172" i="18"/>
  <c r="B171" i="18"/>
  <c r="C38" i="18"/>
  <c r="B170" i="18"/>
  <c r="C37" i="18"/>
  <c r="C49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1" i="18"/>
  <c r="C65" i="18" s="1"/>
  <c r="D36" i="18"/>
  <c r="D48" i="18" s="1"/>
  <c r="C36" i="18"/>
  <c r="C60" i="18" s="1"/>
  <c r="C48" i="18"/>
  <c r="C40" i="18"/>
  <c r="C52" i="18" s="1"/>
  <c r="D56" i="18"/>
  <c r="D68" i="18"/>
  <c r="C67" i="18"/>
  <c r="C79" i="18" s="1"/>
  <c r="D35" i="18"/>
  <c r="D47" i="18"/>
  <c r="D80" i="18"/>
  <c r="D92" i="18"/>
  <c r="D104" i="18" s="1"/>
  <c r="D116" i="18" s="1"/>
  <c r="D128" i="18" s="1"/>
  <c r="D140" i="18" s="1"/>
  <c r="D152" i="18" s="1"/>
  <c r="D164" i="18" s="1"/>
  <c r="D59" i="18"/>
  <c r="D71" i="18"/>
  <c r="D37" i="18"/>
  <c r="D61" i="18" s="1"/>
  <c r="D40" i="18"/>
  <c r="D64" i="18" s="1"/>
  <c r="D76" i="18" s="1"/>
  <c r="D33" i="18"/>
  <c r="D45" i="18" s="1"/>
  <c r="D34" i="18"/>
  <c r="D58" i="18" s="1"/>
  <c r="D46" i="18"/>
  <c r="D57" i="18"/>
  <c r="D69" i="18" s="1"/>
  <c r="C54" i="18"/>
  <c r="C66" i="18"/>
  <c r="D49" i="18"/>
  <c r="C61" i="18"/>
  <c r="C73" i="18" s="1"/>
  <c r="D53" i="18"/>
  <c r="C64" i="18"/>
  <c r="C51" i="18"/>
  <c r="C63" i="18"/>
  <c r="C44" i="18"/>
  <c r="C56" i="18"/>
  <c r="C68" i="18" s="1"/>
  <c r="C46" i="18"/>
  <c r="C58" i="18"/>
  <c r="D60" i="18"/>
  <c r="D72" i="18" s="1"/>
  <c r="D81" i="18"/>
  <c r="D93" i="18" s="1"/>
  <c r="D105" i="18" s="1"/>
  <c r="D117" i="18" s="1"/>
  <c r="D129" i="18" s="1"/>
  <c r="D141" i="18" s="1"/>
  <c r="D153" i="18" s="1"/>
  <c r="D84" i="18"/>
  <c r="D96" i="18" s="1"/>
  <c r="D108" i="18" s="1"/>
  <c r="D120" i="18" s="1"/>
  <c r="D132" i="18" s="1"/>
  <c r="D144" i="18" s="1"/>
  <c r="D156" i="18" s="1"/>
  <c r="D62" i="18"/>
  <c r="D86" i="18" s="1"/>
  <c r="D98" i="18" s="1"/>
  <c r="D110" i="18" s="1"/>
  <c r="D122" i="18" s="1"/>
  <c r="D134" i="18" s="1"/>
  <c r="D146" i="18" s="1"/>
  <c r="D158" i="18" s="1"/>
  <c r="D182" i="18" s="1"/>
  <c r="D194" i="18" s="1"/>
  <c r="D206" i="18" s="1"/>
  <c r="D50" i="18"/>
  <c r="D83" i="18"/>
  <c r="D95" i="18"/>
  <c r="D107" i="18" s="1"/>
  <c r="D119" i="18" s="1"/>
  <c r="D131" i="18" s="1"/>
  <c r="D143" i="18" s="1"/>
  <c r="D155" i="18" s="1"/>
  <c r="D52" i="18"/>
  <c r="C45" i="18"/>
  <c r="C57" i="18"/>
  <c r="C88" i="18"/>
  <c r="C100" i="18" s="1"/>
  <c r="C112" i="18" s="1"/>
  <c r="C124" i="18" s="1"/>
  <c r="C136" i="18" s="1"/>
  <c r="C148" i="18" s="1"/>
  <c r="C160" i="18" s="1"/>
  <c r="C76" i="18"/>
  <c r="C82" i="18"/>
  <c r="C94" i="18" s="1"/>
  <c r="C106" i="18" s="1"/>
  <c r="C118" i="18" s="1"/>
  <c r="C130" i="18" s="1"/>
  <c r="C142" i="18" s="1"/>
  <c r="C154" i="18" s="1"/>
  <c r="C70" i="18"/>
  <c r="C75" i="18"/>
  <c r="C87" i="18"/>
  <c r="C99" i="18"/>
  <c r="C111" i="18" s="1"/>
  <c r="C123" i="18" s="1"/>
  <c r="C135" i="18" s="1"/>
  <c r="C147" i="18" s="1"/>
  <c r="C159" i="18" s="1"/>
  <c r="C69" i="18"/>
  <c r="C81" i="18"/>
  <c r="C93" i="18" s="1"/>
  <c r="C105" i="18" s="1"/>
  <c r="C117" i="18" s="1"/>
  <c r="C129" i="18" s="1"/>
  <c r="C141" i="18" s="1"/>
  <c r="C153" i="18" s="1"/>
  <c r="D25" i="29"/>
  <c r="E33" i="29"/>
  <c r="E32" i="29"/>
  <c r="H31" i="29"/>
  <c r="H35" i="29"/>
  <c r="D33" i="29"/>
  <c r="E24" i="29"/>
  <c r="G28" i="29"/>
  <c r="E37" i="29"/>
  <c r="E35" i="29"/>
  <c r="D28" i="29"/>
  <c r="E30" i="29"/>
  <c r="H26" i="29"/>
  <c r="D30" i="29"/>
  <c r="G31" i="29"/>
  <c r="G26" i="29"/>
  <c r="H29" i="29"/>
  <c r="G27" i="29"/>
  <c r="D36" i="29"/>
  <c r="H23" i="29"/>
  <c r="H36" i="29"/>
  <c r="D23" i="29"/>
  <c r="G37" i="29"/>
  <c r="H28" i="29"/>
  <c r="E25" i="29"/>
  <c r="G36" i="29"/>
  <c r="H33" i="29"/>
  <c r="H37" i="29"/>
  <c r="G33" i="29"/>
  <c r="E31" i="29"/>
  <c r="E22" i="29"/>
  <c r="H30" i="29"/>
  <c r="G23" i="29"/>
  <c r="D29" i="29"/>
  <c r="D21" i="29"/>
  <c r="G25" i="29"/>
  <c r="G21" i="29"/>
  <c r="D26" i="29"/>
  <c r="D22" i="29"/>
  <c r="E23" i="29"/>
  <c r="D24" i="29"/>
  <c r="E28" i="29"/>
  <c r="E27" i="29"/>
  <c r="G29" i="29"/>
  <c r="H24" i="29"/>
  <c r="D32" i="29"/>
  <c r="H25" i="29"/>
  <c r="H27" i="29"/>
  <c r="E36" i="29"/>
  <c r="G30" i="29"/>
  <c r="G35" i="29"/>
  <c r="G32" i="29"/>
  <c r="D35" i="29"/>
  <c r="D31" i="29"/>
  <c r="E21" i="29"/>
  <c r="E26" i="29"/>
  <c r="G22" i="29"/>
  <c r="D27" i="29"/>
  <c r="G24" i="29"/>
  <c r="H21" i="29"/>
  <c r="E29" i="29"/>
  <c r="H22" i="29"/>
  <c r="H32" i="29"/>
  <c r="D37" i="29"/>
  <c r="C171" i="18" l="1"/>
  <c r="C183" i="18"/>
  <c r="C195" i="18" s="1"/>
  <c r="C207" i="18" s="1"/>
  <c r="D85" i="18"/>
  <c r="D97" i="18" s="1"/>
  <c r="D109" i="18" s="1"/>
  <c r="D121" i="18" s="1"/>
  <c r="D133" i="18" s="1"/>
  <c r="D145" i="18" s="1"/>
  <c r="D157" i="18" s="1"/>
  <c r="D181" i="18" s="1"/>
  <c r="D193" i="18" s="1"/>
  <c r="D205" i="18" s="1"/>
  <c r="D73" i="18"/>
  <c r="D177" i="18"/>
  <c r="D189" i="18" s="1"/>
  <c r="D201" i="18" s="1"/>
  <c r="D165" i="18"/>
  <c r="D70" i="18"/>
  <c r="D82" i="18"/>
  <c r="D94" i="18" s="1"/>
  <c r="D106" i="18" s="1"/>
  <c r="D118" i="18" s="1"/>
  <c r="D130" i="18" s="1"/>
  <c r="D142" i="18" s="1"/>
  <c r="D154" i="18" s="1"/>
  <c r="D166" i="18" s="1"/>
  <c r="C72" i="18"/>
  <c r="C84" i="18"/>
  <c r="C96" i="18" s="1"/>
  <c r="C108" i="18" s="1"/>
  <c r="C120" i="18" s="1"/>
  <c r="C132" i="18" s="1"/>
  <c r="C144" i="18" s="1"/>
  <c r="C156" i="18" s="1"/>
  <c r="D180" i="18"/>
  <c r="D192" i="18" s="1"/>
  <c r="D204" i="18" s="1"/>
  <c r="D168" i="18"/>
  <c r="D175" i="18"/>
  <c r="D187" i="18"/>
  <c r="D199" i="18" s="1"/>
  <c r="D211" i="18" s="1"/>
  <c r="C166" i="18"/>
  <c r="C178" i="18"/>
  <c r="C190" i="18" s="1"/>
  <c r="C202" i="18" s="1"/>
  <c r="C184" i="18"/>
  <c r="C196" i="18" s="1"/>
  <c r="C208" i="18" s="1"/>
  <c r="C172" i="18"/>
  <c r="D74" i="18"/>
  <c r="C80" i="18"/>
  <c r="C92" i="18" s="1"/>
  <c r="C104" i="18" s="1"/>
  <c r="C116" i="18" s="1"/>
  <c r="C128" i="18" s="1"/>
  <c r="C140" i="18" s="1"/>
  <c r="C152" i="18" s="1"/>
  <c r="C176" i="18" s="1"/>
  <c r="C188" i="18" s="1"/>
  <c r="C200" i="18" s="1"/>
  <c r="C85" i="18"/>
  <c r="C97" i="18" s="1"/>
  <c r="C109" i="18" s="1"/>
  <c r="C121" i="18" s="1"/>
  <c r="C133" i="18" s="1"/>
  <c r="C145" i="18" s="1"/>
  <c r="C157" i="18" s="1"/>
  <c r="D88" i="18"/>
  <c r="D100" i="18" s="1"/>
  <c r="D112" i="18" s="1"/>
  <c r="D124" i="18" s="1"/>
  <c r="D136" i="18" s="1"/>
  <c r="D148" i="18" s="1"/>
  <c r="D160" i="18" s="1"/>
  <c r="D55" i="18"/>
  <c r="D79" i="18"/>
  <c r="C53" i="18"/>
  <c r="F32" i="29"/>
  <c r="I32" i="29" s="1"/>
  <c r="F23" i="29"/>
  <c r="I23" i="29" s="1"/>
  <c r="H38" i="29"/>
  <c r="F31" i="29"/>
  <c r="I31" i="29" s="1"/>
  <c r="F36" i="29"/>
  <c r="I36" i="29" s="1"/>
  <c r="F30" i="29"/>
  <c r="I30" i="29" s="1"/>
  <c r="F35" i="29"/>
  <c r="D38" i="29"/>
  <c r="H34" i="29"/>
  <c r="F21" i="29"/>
  <c r="D34" i="29"/>
  <c r="G34" i="29"/>
  <c r="F26" i="29"/>
  <c r="I26" i="29" s="1"/>
  <c r="G38" i="29"/>
  <c r="F22" i="29"/>
  <c r="I22" i="29" s="1"/>
  <c r="F28" i="29"/>
  <c r="I28" i="29" s="1"/>
  <c r="F25" i="29"/>
  <c r="I25" i="29" s="1"/>
  <c r="F24" i="29"/>
  <c r="I24" i="29" s="1"/>
  <c r="F29" i="29"/>
  <c r="I29" i="29" s="1"/>
  <c r="E34" i="29"/>
  <c r="F37" i="29"/>
  <c r="I37" i="29" s="1"/>
  <c r="F27" i="29"/>
  <c r="I27" i="29" s="1"/>
  <c r="F33" i="29"/>
  <c r="I33" i="29" s="1"/>
  <c r="E38" i="29"/>
  <c r="C177" i="18"/>
  <c r="C189" i="18" s="1"/>
  <c r="C201" i="18" s="1"/>
  <c r="C165" i="18"/>
  <c r="D170" i="18"/>
  <c r="D179" i="18"/>
  <c r="D191" i="18" s="1"/>
  <c r="D203" i="18" s="1"/>
  <c r="D167" i="18"/>
  <c r="G212" i="18"/>
  <c r="D176" i="18"/>
  <c r="D188" i="18" s="1"/>
  <c r="D200" i="18" s="1"/>
  <c r="D184" i="18"/>
  <c r="D196" i="18" s="1"/>
  <c r="D208" i="18" s="1"/>
  <c r="D172" i="18"/>
  <c r="D169" i="18"/>
  <c r="C168" i="18"/>
  <c r="C180" i="18"/>
  <c r="C192" i="18" s="1"/>
  <c r="C204" i="18" s="1"/>
  <c r="C47" i="18"/>
  <c r="C59" i="18"/>
  <c r="C62" i="18"/>
  <c r="C50" i="18"/>
  <c r="E10" i="29"/>
  <c r="D20" i="29"/>
  <c r="E20" i="29"/>
  <c r="C3" i="29"/>
  <c r="F10" i="29"/>
  <c r="C78" i="18"/>
  <c r="C90" i="18"/>
  <c r="C102" i="18" s="1"/>
  <c r="C114" i="18" s="1"/>
  <c r="C126" i="18" s="1"/>
  <c r="C138" i="18" s="1"/>
  <c r="C150" i="18" s="1"/>
  <c r="C162" i="18" s="1"/>
  <c r="C89" i="18"/>
  <c r="C101" i="18" s="1"/>
  <c r="C113" i="18" s="1"/>
  <c r="C125" i="18" s="1"/>
  <c r="C137" i="18" s="1"/>
  <c r="C149" i="18" s="1"/>
  <c r="C161" i="18" s="1"/>
  <c r="C77" i="18"/>
  <c r="D54" i="18"/>
  <c r="D66" i="18"/>
  <c r="D51" i="18"/>
  <c r="D63" i="18"/>
  <c r="D77" i="18"/>
  <c r="D89" i="18"/>
  <c r="D101" i="18" s="1"/>
  <c r="D113" i="18" s="1"/>
  <c r="D125" i="18" s="1"/>
  <c r="D137" i="18" s="1"/>
  <c r="D149" i="18" s="1"/>
  <c r="D161" i="18" s="1"/>
  <c r="O14" i="18"/>
  <c r="C91" i="18"/>
  <c r="C103" i="18" s="1"/>
  <c r="C115" i="18" s="1"/>
  <c r="C127" i="18" s="1"/>
  <c r="C139" i="18" s="1"/>
  <c r="C151" i="18" s="1"/>
  <c r="C163" i="18" s="1"/>
  <c r="E39" i="29" l="1"/>
  <c r="G39" i="29"/>
  <c r="D178" i="18"/>
  <c r="D190" i="18" s="1"/>
  <c r="D202" i="18" s="1"/>
  <c r="C164" i="18"/>
  <c r="C181" i="18"/>
  <c r="C193" i="18" s="1"/>
  <c r="C205" i="18" s="1"/>
  <c r="C169" i="18"/>
  <c r="D87" i="18"/>
  <c r="D99" i="18" s="1"/>
  <c r="D111" i="18" s="1"/>
  <c r="D123" i="18" s="1"/>
  <c r="D135" i="18" s="1"/>
  <c r="D147" i="18" s="1"/>
  <c r="D159" i="18" s="1"/>
  <c r="D75" i="18"/>
  <c r="D39" i="29"/>
  <c r="D173" i="18"/>
  <c r="D185" i="18"/>
  <c r="D197" i="18" s="1"/>
  <c r="D209" i="18" s="1"/>
  <c r="D78" i="18"/>
  <c r="D90" i="18"/>
  <c r="D102" i="18" s="1"/>
  <c r="D114" i="18" s="1"/>
  <c r="D126" i="18" s="1"/>
  <c r="D138" i="18" s="1"/>
  <c r="D150" i="18" s="1"/>
  <c r="D162" i="18" s="1"/>
  <c r="C86" i="18"/>
  <c r="C98" i="18" s="1"/>
  <c r="C110" i="18" s="1"/>
  <c r="C122" i="18" s="1"/>
  <c r="C134" i="18" s="1"/>
  <c r="C146" i="18" s="1"/>
  <c r="C158" i="18" s="1"/>
  <c r="C74" i="18"/>
  <c r="P14" i="18"/>
  <c r="P212" i="18"/>
  <c r="P13" i="18"/>
  <c r="F34" i="29"/>
  <c r="I21" i="29"/>
  <c r="I34" i="29" s="1"/>
  <c r="I39" i="29" s="1"/>
  <c r="C173" i="18"/>
  <c r="C185" i="18"/>
  <c r="C197" i="18" s="1"/>
  <c r="C209" i="18" s="1"/>
  <c r="C175" i="18"/>
  <c r="C187" i="18"/>
  <c r="C199" i="18" s="1"/>
  <c r="C211" i="18" s="1"/>
  <c r="C186" i="18"/>
  <c r="C198" i="18" s="1"/>
  <c r="C210" i="18" s="1"/>
  <c r="C174" i="18"/>
  <c r="I35" i="29"/>
  <c r="I38" i="29" s="1"/>
  <c r="F38" i="29"/>
  <c r="C71" i="18"/>
  <c r="C83" i="18"/>
  <c r="C95" i="18" s="1"/>
  <c r="C107" i="18" s="1"/>
  <c r="C119" i="18" s="1"/>
  <c r="C131" i="18" s="1"/>
  <c r="C143" i="18" s="1"/>
  <c r="C155" i="18" s="1"/>
  <c r="H39" i="29"/>
  <c r="Q14" i="18" l="1"/>
  <c r="Q13" i="18"/>
  <c r="C179" i="18"/>
  <c r="C191" i="18" s="1"/>
  <c r="C203" i="18" s="1"/>
  <c r="C167" i="18"/>
  <c r="F39" i="29"/>
  <c r="C170" i="18"/>
  <c r="C182" i="18"/>
  <c r="C194" i="18" s="1"/>
  <c r="C206" i="18" s="1"/>
  <c r="D171" i="18"/>
  <c r="D183" i="18"/>
  <c r="D195" i="18" s="1"/>
  <c r="D207" i="18" s="1"/>
  <c r="D186" i="18"/>
  <c r="D198" i="18" s="1"/>
  <c r="D210" i="18" s="1"/>
  <c r="D174" i="18"/>
  <c r="E11" i="29" l="1"/>
  <c r="K20" i="18" l="1"/>
  <c r="K207" i="18"/>
  <c r="K195" i="18"/>
  <c r="K179" i="18"/>
  <c r="K167" i="18"/>
  <c r="K139" i="18"/>
  <c r="K127" i="18"/>
  <c r="K111" i="18"/>
  <c r="K95" i="18"/>
  <c r="K79" i="18"/>
  <c r="K63" i="18"/>
  <c r="K51" i="18"/>
  <c r="K35" i="18"/>
  <c r="K23" i="18"/>
  <c r="K193" i="18"/>
  <c r="K161" i="18"/>
  <c r="K129" i="18"/>
  <c r="K97" i="18"/>
  <c r="K57" i="18"/>
  <c r="K25" i="18"/>
  <c r="K194" i="18"/>
  <c r="K182" i="18"/>
  <c r="K170" i="18"/>
  <c r="K158" i="18"/>
  <c r="K146" i="18"/>
  <c r="K134" i="18"/>
  <c r="K118" i="18"/>
  <c r="K102" i="18"/>
  <c r="K90" i="18"/>
  <c r="K46" i="18"/>
  <c r="K34" i="18"/>
  <c r="K205" i="18"/>
  <c r="K189" i="18"/>
  <c r="K173" i="18"/>
  <c r="K141" i="18"/>
  <c r="K85" i="18"/>
  <c r="K200" i="18"/>
  <c r="K184" i="18"/>
  <c r="K160" i="18"/>
  <c r="K128" i="18"/>
  <c r="K164" i="18"/>
  <c r="K132" i="18"/>
  <c r="K84" i="18"/>
  <c r="K36" i="18"/>
  <c r="K80" i="18"/>
  <c r="K32" i="18"/>
  <c r="K24" i="18"/>
  <c r="K76" i="18"/>
  <c r="K104" i="18"/>
  <c r="K190" i="18"/>
  <c r="K114" i="18"/>
  <c r="K86" i="18"/>
  <c r="K62" i="18"/>
  <c r="K42" i="18"/>
  <c r="K165" i="18"/>
  <c r="K109" i="18"/>
  <c r="K53" i="18"/>
  <c r="K196" i="18"/>
  <c r="K152" i="18"/>
  <c r="K156" i="18"/>
  <c r="K120" i="18"/>
  <c r="K68" i="18"/>
  <c r="K112" i="18"/>
  <c r="K88" i="18"/>
  <c r="K60" i="18"/>
  <c r="E13" i="29"/>
  <c r="K191" i="18"/>
  <c r="K175" i="18"/>
  <c r="K163" i="18"/>
  <c r="K151" i="18"/>
  <c r="K135" i="18"/>
  <c r="K123" i="18"/>
  <c r="K107" i="18"/>
  <c r="K91" i="18"/>
  <c r="K75" i="18"/>
  <c r="K59" i="18"/>
  <c r="K47" i="18"/>
  <c r="K185" i="18"/>
  <c r="K153" i="18"/>
  <c r="K121" i="18"/>
  <c r="K73" i="18"/>
  <c r="K49" i="18"/>
  <c r="K188" i="18"/>
  <c r="K202" i="18"/>
  <c r="K178" i="18"/>
  <c r="K166" i="18"/>
  <c r="K154" i="18"/>
  <c r="K130" i="18"/>
  <c r="K98" i="18"/>
  <c r="K74" i="18"/>
  <c r="K54" i="18"/>
  <c r="H30" i="18"/>
  <c r="K30" i="18" s="1"/>
  <c r="K133" i="18"/>
  <c r="K77" i="18"/>
  <c r="H29" i="18"/>
  <c r="K29" i="18" s="1"/>
  <c r="K180" i="18"/>
  <c r="K208" i="18"/>
  <c r="K64" i="18"/>
  <c r="K108" i="18"/>
  <c r="K72" i="18"/>
  <c r="K203" i="18"/>
  <c r="K187" i="18"/>
  <c r="K159" i="18"/>
  <c r="K147" i="18"/>
  <c r="K131" i="18"/>
  <c r="K119" i="18"/>
  <c r="K103" i="18"/>
  <c r="K87" i="18"/>
  <c r="K71" i="18"/>
  <c r="K43" i="18"/>
  <c r="H31" i="18"/>
  <c r="K31" i="18" s="1"/>
  <c r="K209" i="18"/>
  <c r="K177" i="18"/>
  <c r="K145" i="18"/>
  <c r="K113" i="18"/>
  <c r="K89" i="18"/>
  <c r="K65" i="18"/>
  <c r="K41" i="18"/>
  <c r="K210" i="18"/>
  <c r="K186" i="18"/>
  <c r="K162" i="18"/>
  <c r="K142" i="18"/>
  <c r="K126" i="18"/>
  <c r="K110" i="18"/>
  <c r="K82" i="18"/>
  <c r="K70" i="18"/>
  <c r="K26" i="18"/>
  <c r="K197" i="18"/>
  <c r="K181" i="18"/>
  <c r="K157" i="18"/>
  <c r="K125" i="18"/>
  <c r="K101" i="18"/>
  <c r="K69" i="18"/>
  <c r="K45" i="18"/>
  <c r="K21" i="18"/>
  <c r="K192" i="18"/>
  <c r="K172" i="18"/>
  <c r="K144" i="18"/>
  <c r="K148" i="18"/>
  <c r="K124" i="18"/>
  <c r="K100" i="18"/>
  <c r="K52" i="18"/>
  <c r="K48" i="18"/>
  <c r="K44" i="18"/>
  <c r="K40" i="18"/>
  <c r="K183" i="18"/>
  <c r="K67" i="18"/>
  <c r="K201" i="18"/>
  <c r="K81" i="18"/>
  <c r="K198" i="18"/>
  <c r="K150" i="18"/>
  <c r="K94" i="18"/>
  <c r="K50" i="18"/>
  <c r="K61" i="18"/>
  <c r="K168" i="18"/>
  <c r="K116" i="18"/>
  <c r="K155" i="18"/>
  <c r="K39" i="18"/>
  <c r="K33" i="18"/>
  <c r="K122" i="18"/>
  <c r="K22" i="18"/>
  <c r="K204" i="18"/>
  <c r="K143" i="18"/>
  <c r="K105" i="18"/>
  <c r="K140" i="18"/>
  <c r="K171" i="18"/>
  <c r="K115" i="18"/>
  <c r="K55" i="18"/>
  <c r="K169" i="18"/>
  <c r="K138" i="18"/>
  <c r="K78" i="18"/>
  <c r="K38" i="18"/>
  <c r="K149" i="18"/>
  <c r="K37" i="18"/>
  <c r="K136" i="18"/>
  <c r="K56" i="18"/>
  <c r="K211" i="18"/>
  <c r="K99" i="18"/>
  <c r="K137" i="18"/>
  <c r="K174" i="18"/>
  <c r="K66" i="18"/>
  <c r="K117" i="18"/>
  <c r="K176" i="18"/>
  <c r="K92" i="18"/>
  <c r="K199" i="18"/>
  <c r="H27" i="18"/>
  <c r="K27" i="18" s="1"/>
  <c r="K206" i="18"/>
  <c r="K106" i="18"/>
  <c r="K58" i="18"/>
  <c r="K93" i="18"/>
  <c r="K96" i="18"/>
  <c r="K83" i="18"/>
  <c r="H28" i="18"/>
  <c r="K28" i="18" s="1"/>
  <c r="K13" i="18" l="1"/>
  <c r="K14" i="18"/>
  <c r="K212" i="18"/>
  <c r="F12" i="29" l="1"/>
  <c r="I117" i="18"/>
  <c r="J117" i="18" s="1"/>
  <c r="L117" i="18" s="1"/>
  <c r="I49" i="18"/>
  <c r="J49" i="18" s="1"/>
  <c r="L49" i="18" s="1"/>
  <c r="I205" i="18"/>
  <c r="J205" i="18" s="1"/>
  <c r="L205" i="18" s="1"/>
  <c r="I46" i="18"/>
  <c r="J46" i="18" s="1"/>
  <c r="L46" i="18" s="1"/>
  <c r="I108" i="18"/>
  <c r="J108" i="18" s="1"/>
  <c r="L108" i="18" s="1"/>
  <c r="I201" i="18"/>
  <c r="J201" i="18" s="1"/>
  <c r="L201" i="18" s="1"/>
  <c r="I26" i="18"/>
  <c r="J26" i="18" s="1"/>
  <c r="L26" i="18" s="1"/>
  <c r="I179" i="18"/>
  <c r="J179" i="18" s="1"/>
  <c r="L179" i="18" s="1"/>
  <c r="I177" i="18"/>
  <c r="J177" i="18" s="1"/>
  <c r="L177" i="18" s="1"/>
  <c r="I89" i="18"/>
  <c r="J89" i="18" s="1"/>
  <c r="L89" i="18" s="1"/>
  <c r="I168" i="18"/>
  <c r="J168" i="18" s="1"/>
  <c r="L168" i="18" s="1"/>
  <c r="I45" i="18"/>
  <c r="J45" i="18" s="1"/>
  <c r="L45" i="18" s="1"/>
  <c r="I158" i="18"/>
  <c r="J158" i="18" s="1"/>
  <c r="L158" i="18" s="1"/>
  <c r="I116" i="18"/>
  <c r="J116" i="18" s="1"/>
  <c r="L116" i="18" s="1"/>
  <c r="I128" i="18"/>
  <c r="J128" i="18" s="1"/>
  <c r="L128" i="18" s="1"/>
  <c r="I32" i="18"/>
  <c r="J32" i="18" s="1"/>
  <c r="L32" i="18" s="1"/>
  <c r="I192" i="18"/>
  <c r="J192" i="18" s="1"/>
  <c r="L192" i="18" s="1"/>
  <c r="I84" i="18"/>
  <c r="J84" i="18" s="1"/>
  <c r="L84" i="18" s="1"/>
  <c r="I121" i="18"/>
  <c r="J121" i="18" s="1"/>
  <c r="L121" i="18" s="1"/>
  <c r="I54" i="18"/>
  <c r="J54" i="18" s="1"/>
  <c r="L54" i="18" s="1"/>
  <c r="I62" i="18"/>
  <c r="J62" i="18" s="1"/>
  <c r="L62" i="18" s="1"/>
  <c r="I30" i="18"/>
  <c r="J30" i="18" s="1"/>
  <c r="L30" i="18" s="1"/>
  <c r="I182" i="18"/>
  <c r="J182" i="18" s="1"/>
  <c r="L182" i="18" s="1"/>
  <c r="I110" i="18"/>
  <c r="J110" i="18" s="1"/>
  <c r="L110" i="18" s="1"/>
  <c r="I147" i="18"/>
  <c r="J147" i="18" s="1"/>
  <c r="L147" i="18" s="1"/>
  <c r="I24" i="18"/>
  <c r="J24" i="18" s="1"/>
  <c r="L24" i="18" s="1"/>
  <c r="I193" i="18"/>
  <c r="J193" i="18" s="1"/>
  <c r="L193" i="18" s="1"/>
  <c r="I31" i="18"/>
  <c r="J31" i="18" s="1"/>
  <c r="L31" i="18" s="1"/>
  <c r="I125" i="18"/>
  <c r="J125" i="18" s="1"/>
  <c r="L125" i="18" s="1"/>
  <c r="I106" i="18"/>
  <c r="J106" i="18" s="1"/>
  <c r="L106" i="18" s="1"/>
  <c r="I161" i="18"/>
  <c r="J161" i="18" s="1"/>
  <c r="L161" i="18" s="1"/>
  <c r="I119" i="18"/>
  <c r="J119" i="18" s="1"/>
  <c r="L119" i="18" s="1"/>
  <c r="I56" i="18"/>
  <c r="J56" i="18" s="1"/>
  <c r="I172" i="18"/>
  <c r="J172" i="18" s="1"/>
  <c r="L172" i="18" s="1"/>
  <c r="I166" i="18"/>
  <c r="J166" i="18" s="1"/>
  <c r="L166" i="18" s="1"/>
  <c r="I208" i="18"/>
  <c r="J208" i="18" s="1"/>
  <c r="L208" i="18" s="1"/>
  <c r="I55" i="18"/>
  <c r="J55" i="18" s="1"/>
  <c r="L55" i="18" s="1"/>
  <c r="I101" i="18"/>
  <c r="J101" i="18" s="1"/>
  <c r="L101" i="18" s="1"/>
  <c r="I93" i="18"/>
  <c r="J93" i="18" s="1"/>
  <c r="L93" i="18" s="1"/>
  <c r="I167" i="18"/>
  <c r="J167" i="18" s="1"/>
  <c r="L167" i="18" s="1"/>
  <c r="I156" i="18"/>
  <c r="J156" i="18" s="1"/>
  <c r="L156" i="18" s="1"/>
  <c r="I175" i="18"/>
  <c r="J175" i="18" s="1"/>
  <c r="L175" i="18" s="1"/>
  <c r="I113" i="18"/>
  <c r="J113" i="18" s="1"/>
  <c r="L113" i="18" s="1"/>
  <c r="I100" i="18"/>
  <c r="J100" i="18" s="1"/>
  <c r="L100" i="18" s="1"/>
  <c r="I78" i="18"/>
  <c r="J78" i="18" s="1"/>
  <c r="L78" i="18" s="1"/>
  <c r="I141" i="18"/>
  <c r="J141" i="18" s="1"/>
  <c r="L141" i="18" s="1"/>
  <c r="I148" i="18"/>
  <c r="J148" i="18" s="1"/>
  <c r="L148" i="18" s="1"/>
  <c r="I164" i="18"/>
  <c r="J164" i="18" s="1"/>
  <c r="L164" i="18" s="1"/>
  <c r="I160" i="18"/>
  <c r="J160" i="18" s="1"/>
  <c r="L160" i="18" s="1"/>
  <c r="I169" i="18"/>
  <c r="J169" i="18" s="1"/>
  <c r="L169" i="18" s="1"/>
  <c r="I199" i="18"/>
  <c r="J199" i="18" s="1"/>
  <c r="L199" i="18" s="1"/>
  <c r="I140" i="18"/>
  <c r="J140" i="18" s="1"/>
  <c r="L140" i="18" s="1"/>
  <c r="I64" i="18"/>
  <c r="J64" i="18" s="1"/>
  <c r="L64" i="18" s="1"/>
  <c r="I58" i="18"/>
  <c r="J58" i="18" s="1"/>
  <c r="L58" i="18" s="1"/>
  <c r="I207" i="18"/>
  <c r="J207" i="18" s="1"/>
  <c r="L207" i="18" s="1"/>
  <c r="I111" i="18"/>
  <c r="J111" i="18" s="1"/>
  <c r="L111" i="18" s="1"/>
  <c r="I39" i="18"/>
  <c r="J39" i="18" s="1"/>
  <c r="L39" i="18" s="1"/>
  <c r="I142" i="18"/>
  <c r="J142" i="18" s="1"/>
  <c r="L142" i="18" s="1"/>
  <c r="I28" i="18"/>
  <c r="J28" i="18" s="1"/>
  <c r="L28" i="18" s="1"/>
  <c r="I90" i="18"/>
  <c r="J90" i="18" s="1"/>
  <c r="L90" i="18" s="1"/>
  <c r="I98" i="18"/>
  <c r="J98" i="18" s="1"/>
  <c r="L98" i="18" s="1"/>
  <c r="I60" i="18"/>
  <c r="J60" i="18" s="1"/>
  <c r="L60" i="18" s="1"/>
  <c r="I69" i="18"/>
  <c r="J69" i="18" s="1"/>
  <c r="L69" i="18" s="1"/>
  <c r="I105" i="18"/>
  <c r="J105" i="18" s="1"/>
  <c r="L105" i="18" s="1"/>
  <c r="I20" i="18"/>
  <c r="J20" i="18" s="1"/>
  <c r="I195" i="18"/>
  <c r="J195" i="18" s="1"/>
  <c r="L195" i="18" s="1"/>
  <c r="I104" i="18"/>
  <c r="J104" i="18" s="1"/>
  <c r="L104" i="18" s="1"/>
  <c r="I152" i="18"/>
  <c r="J152" i="18" s="1"/>
  <c r="L152" i="18" s="1"/>
  <c r="I126" i="18"/>
  <c r="J126" i="18" s="1"/>
  <c r="L126" i="18" s="1"/>
  <c r="I162" i="18"/>
  <c r="J162" i="18" s="1"/>
  <c r="L162" i="18" s="1"/>
  <c r="I185" i="18"/>
  <c r="J185" i="18" s="1"/>
  <c r="L185" i="18" s="1"/>
  <c r="I153" i="18"/>
  <c r="J153" i="18" s="1"/>
  <c r="L153" i="18" s="1"/>
  <c r="I74" i="18"/>
  <c r="J74" i="18" s="1"/>
  <c r="L74" i="18" s="1"/>
  <c r="I137" i="18"/>
  <c r="J137" i="18" s="1"/>
  <c r="L137" i="18" s="1"/>
  <c r="I61" i="18"/>
  <c r="J61" i="18" s="1"/>
  <c r="L61" i="18" s="1"/>
  <c r="I83" i="18"/>
  <c r="J83" i="18" s="1"/>
  <c r="L83" i="18" s="1"/>
  <c r="I97" i="18"/>
  <c r="J97" i="18" s="1"/>
  <c r="L97" i="18" s="1"/>
  <c r="I157" i="18"/>
  <c r="J157" i="18" s="1"/>
  <c r="L157" i="18" s="1"/>
  <c r="I29" i="18"/>
  <c r="J29" i="18" s="1"/>
  <c r="L29" i="18" s="1"/>
  <c r="I151" i="18"/>
  <c r="J151" i="18" s="1"/>
  <c r="L151" i="18" s="1"/>
  <c r="I38" i="18"/>
  <c r="J38" i="18" s="1"/>
  <c r="L38" i="18" s="1"/>
  <c r="I184" i="18"/>
  <c r="J184" i="18" s="1"/>
  <c r="L184" i="18" s="1"/>
  <c r="I43" i="18"/>
  <c r="J43" i="18" s="1"/>
  <c r="L43" i="18" s="1"/>
  <c r="I122" i="18"/>
  <c r="J122" i="18" s="1"/>
  <c r="L122" i="18" s="1"/>
  <c r="I194" i="18"/>
  <c r="J194" i="18" s="1"/>
  <c r="L194" i="18" s="1"/>
  <c r="F14" i="29"/>
  <c r="I196" i="18"/>
  <c r="J196" i="18" s="1"/>
  <c r="L196" i="18" s="1"/>
  <c r="I21" i="18"/>
  <c r="J21" i="18" s="1"/>
  <c r="L21" i="18" s="1"/>
  <c r="I22" i="18"/>
  <c r="J22" i="18" s="1"/>
  <c r="L22" i="18" s="1"/>
  <c r="I79" i="18"/>
  <c r="J79" i="18" s="1"/>
  <c r="L79" i="18" s="1"/>
  <c r="I183" i="18"/>
  <c r="J183" i="18" s="1"/>
  <c r="L183" i="18" s="1"/>
  <c r="I33" i="18"/>
  <c r="J33" i="18" s="1"/>
  <c r="L33" i="18" s="1"/>
  <c r="I112" i="18"/>
  <c r="J112" i="18" s="1"/>
  <c r="L112" i="18" s="1"/>
  <c r="I191" i="18"/>
  <c r="J191" i="18" s="1"/>
  <c r="L191" i="18" s="1"/>
  <c r="I163" i="18"/>
  <c r="J163" i="18" s="1"/>
  <c r="L163" i="18" s="1"/>
  <c r="I103" i="18"/>
  <c r="J103" i="18" s="1"/>
  <c r="L103" i="18" s="1"/>
  <c r="I202" i="18"/>
  <c r="J202" i="18" s="1"/>
  <c r="L202" i="18" s="1"/>
  <c r="I42" i="18"/>
  <c r="J42" i="18" s="1"/>
  <c r="L42" i="18" s="1"/>
  <c r="I146" i="18"/>
  <c r="J146" i="18" s="1"/>
  <c r="L146" i="18" s="1"/>
  <c r="I176" i="18"/>
  <c r="J176" i="18" s="1"/>
  <c r="L176" i="18" s="1"/>
  <c r="I34" i="18"/>
  <c r="J34" i="18" s="1"/>
  <c r="L34" i="18" s="1"/>
  <c r="I203" i="18"/>
  <c r="J203" i="18" s="1"/>
  <c r="L203" i="18" s="1"/>
  <c r="I130" i="18"/>
  <c r="J130" i="18" s="1"/>
  <c r="L130" i="18" s="1"/>
  <c r="I144" i="18"/>
  <c r="J144" i="18" s="1"/>
  <c r="L144" i="18" s="1"/>
  <c r="I173" i="18"/>
  <c r="J173" i="18" s="1"/>
  <c r="L173" i="18" s="1"/>
  <c r="I41" i="18"/>
  <c r="J41" i="18" s="1"/>
  <c r="L41" i="18" s="1"/>
  <c r="I70" i="18"/>
  <c r="J70" i="18" s="1"/>
  <c r="L70" i="18" s="1"/>
  <c r="I36" i="18"/>
  <c r="J36" i="18" s="1"/>
  <c r="L36" i="18" s="1"/>
  <c r="I68" i="18"/>
  <c r="J68" i="18" s="1"/>
  <c r="L68" i="18" s="1"/>
  <c r="I53" i="18"/>
  <c r="J53" i="18" s="1"/>
  <c r="L53" i="18" s="1"/>
  <c r="I124" i="18"/>
  <c r="J124" i="18" s="1"/>
  <c r="L124" i="18" s="1"/>
  <c r="I138" i="18"/>
  <c r="J138" i="18" s="1"/>
  <c r="L138" i="18" s="1"/>
  <c r="I71" i="18"/>
  <c r="J71" i="18" s="1"/>
  <c r="L71" i="18" s="1"/>
  <c r="I139" i="18"/>
  <c r="J139" i="18" s="1"/>
  <c r="L139" i="18" s="1"/>
  <c r="I91" i="18"/>
  <c r="J91" i="18" s="1"/>
  <c r="L91" i="18" s="1"/>
  <c r="I123" i="18"/>
  <c r="J123" i="18" s="1"/>
  <c r="L123" i="18" s="1"/>
  <c r="I40" i="18"/>
  <c r="J40" i="18" s="1"/>
  <c r="L40" i="18" s="1"/>
  <c r="I96" i="18"/>
  <c r="J96" i="18" s="1"/>
  <c r="L96" i="18" s="1"/>
  <c r="I200" i="18"/>
  <c r="J200" i="18" s="1"/>
  <c r="L200" i="18" s="1"/>
  <c r="I170" i="18"/>
  <c r="J170" i="18" s="1"/>
  <c r="L170" i="18" s="1"/>
  <c r="I143" i="18"/>
  <c r="J143" i="18" s="1"/>
  <c r="L143" i="18" s="1"/>
  <c r="I52" i="18"/>
  <c r="J52" i="18" s="1"/>
  <c r="L52" i="18" s="1"/>
  <c r="I35" i="18"/>
  <c r="J35" i="18" s="1"/>
  <c r="L35" i="18" s="1"/>
  <c r="I134" i="18"/>
  <c r="J134" i="18" s="1"/>
  <c r="L134" i="18" s="1"/>
  <c r="I102" i="18"/>
  <c r="J102" i="18" s="1"/>
  <c r="L102" i="18" s="1"/>
  <c r="I150" i="18"/>
  <c r="J150" i="18" s="1"/>
  <c r="L150" i="18" s="1"/>
  <c r="I154" i="18"/>
  <c r="J154" i="18" s="1"/>
  <c r="L154" i="18" s="1"/>
  <c r="I37" i="18"/>
  <c r="J37" i="18" s="1"/>
  <c r="L37" i="18" s="1"/>
  <c r="I189" i="18"/>
  <c r="J189" i="18" s="1"/>
  <c r="L189" i="18" s="1"/>
  <c r="I190" i="18"/>
  <c r="J190" i="18" s="1"/>
  <c r="L190" i="18" s="1"/>
  <c r="I75" i="18"/>
  <c r="J75" i="18" s="1"/>
  <c r="L75" i="18" s="1"/>
  <c r="I81" i="18"/>
  <c r="J81" i="18" s="1"/>
  <c r="L81" i="18" s="1"/>
  <c r="I165" i="18"/>
  <c r="J165" i="18" s="1"/>
  <c r="L165" i="18" s="1"/>
  <c r="I127" i="18"/>
  <c r="J127" i="18" s="1"/>
  <c r="L127" i="18" s="1"/>
  <c r="I206" i="18"/>
  <c r="J206" i="18" s="1"/>
  <c r="L206" i="18" s="1"/>
  <c r="I149" i="18"/>
  <c r="J149" i="18" s="1"/>
  <c r="L149" i="18" s="1"/>
  <c r="I159" i="18"/>
  <c r="J159" i="18" s="1"/>
  <c r="L159" i="18" s="1"/>
  <c r="I197" i="18"/>
  <c r="J197" i="18" s="1"/>
  <c r="L197" i="18" s="1"/>
  <c r="I180" i="18"/>
  <c r="J180" i="18" s="1"/>
  <c r="L180" i="18" s="1"/>
  <c r="I63" i="18"/>
  <c r="J63" i="18" s="1"/>
  <c r="L63" i="18" s="1"/>
  <c r="I44" i="18"/>
  <c r="J44" i="18" s="1"/>
  <c r="L44" i="18" s="1"/>
  <c r="I145" i="18"/>
  <c r="J145" i="18" s="1"/>
  <c r="L145" i="18" s="1"/>
  <c r="I94" i="18"/>
  <c r="J94" i="18" s="1"/>
  <c r="L94" i="18" s="1"/>
  <c r="I187" i="18"/>
  <c r="J187" i="18" s="1"/>
  <c r="L187" i="18" s="1"/>
  <c r="I47" i="18"/>
  <c r="J47" i="18" s="1"/>
  <c r="L47" i="18" s="1"/>
  <c r="I178" i="18"/>
  <c r="J178" i="18" s="1"/>
  <c r="L178" i="18" s="1"/>
  <c r="I132" i="18"/>
  <c r="J132" i="18" s="1"/>
  <c r="L132" i="18" s="1"/>
  <c r="I209" i="18"/>
  <c r="J209" i="18" s="1"/>
  <c r="L209" i="18" s="1"/>
  <c r="I57" i="18"/>
  <c r="J57" i="18" s="1"/>
  <c r="L57" i="18" s="1"/>
  <c r="I86" i="18"/>
  <c r="J86" i="18" s="1"/>
  <c r="L86" i="18" s="1"/>
  <c r="I211" i="18"/>
  <c r="J211" i="18" s="1"/>
  <c r="L211" i="18" s="1"/>
  <c r="I95" i="18"/>
  <c r="J95" i="18" s="1"/>
  <c r="L95" i="18" s="1"/>
  <c r="I135" i="18"/>
  <c r="J135" i="18" s="1"/>
  <c r="L135" i="18" s="1"/>
  <c r="I131" i="18"/>
  <c r="J131" i="18" s="1"/>
  <c r="L131" i="18" s="1"/>
  <c r="I65" i="18"/>
  <c r="J65" i="18" s="1"/>
  <c r="L65" i="18" s="1"/>
  <c r="I80" i="18"/>
  <c r="J80" i="18" s="1"/>
  <c r="L80" i="18" s="1"/>
  <c r="I92" i="18"/>
  <c r="J92" i="18" s="1"/>
  <c r="L92" i="18" s="1"/>
  <c r="I114" i="18"/>
  <c r="J114" i="18" s="1"/>
  <c r="L114" i="18" s="1"/>
  <c r="I174" i="18"/>
  <c r="J174" i="18" s="1"/>
  <c r="L174" i="18" s="1"/>
  <c r="I99" i="18"/>
  <c r="J99" i="18" s="1"/>
  <c r="L99" i="18" s="1"/>
  <c r="I198" i="18"/>
  <c r="J198" i="18" s="1"/>
  <c r="L198" i="18" s="1"/>
  <c r="I82" i="18"/>
  <c r="J82" i="18" s="1"/>
  <c r="L82" i="18" s="1"/>
  <c r="I76" i="18"/>
  <c r="J76" i="18" s="1"/>
  <c r="L76" i="18" s="1"/>
  <c r="I109" i="18"/>
  <c r="J109" i="18" s="1"/>
  <c r="L109" i="18" s="1"/>
  <c r="I85" i="18"/>
  <c r="J85" i="18" s="1"/>
  <c r="L85" i="18" s="1"/>
  <c r="I120" i="18"/>
  <c r="J120" i="18" s="1"/>
  <c r="L120" i="18" s="1"/>
  <c r="I25" i="18"/>
  <c r="J25" i="18" s="1"/>
  <c r="L25" i="18" s="1"/>
  <c r="I87" i="18"/>
  <c r="J87" i="18" s="1"/>
  <c r="L87" i="18" s="1"/>
  <c r="I107" i="18"/>
  <c r="J107" i="18" s="1"/>
  <c r="L107" i="18" s="1"/>
  <c r="I72" i="18"/>
  <c r="J72" i="18" s="1"/>
  <c r="L72" i="18" s="1"/>
  <c r="I50" i="18"/>
  <c r="J50" i="18" s="1"/>
  <c r="L50" i="18" s="1"/>
  <c r="I204" i="18"/>
  <c r="J204" i="18" s="1"/>
  <c r="L204" i="18" s="1"/>
  <c r="I77" i="18"/>
  <c r="J77" i="18" s="1"/>
  <c r="L77" i="18" s="1"/>
  <c r="I115" i="18"/>
  <c r="J115" i="18" s="1"/>
  <c r="L115" i="18" s="1"/>
  <c r="I181" i="18"/>
  <c r="J181" i="18" s="1"/>
  <c r="L181" i="18" s="1"/>
  <c r="I136" i="18"/>
  <c r="J136" i="18" s="1"/>
  <c r="L136" i="18" s="1"/>
  <c r="I23" i="18"/>
  <c r="J23" i="18" s="1"/>
  <c r="L23" i="18" s="1"/>
  <c r="I48" i="18"/>
  <c r="J48" i="18" s="1"/>
  <c r="L48" i="18" s="1"/>
  <c r="I186" i="18"/>
  <c r="J186" i="18" s="1"/>
  <c r="L186" i="18" s="1"/>
  <c r="I118" i="18"/>
  <c r="J118" i="18" s="1"/>
  <c r="L118" i="18" s="1"/>
  <c r="I171" i="18"/>
  <c r="J171" i="18" s="1"/>
  <c r="L171" i="18" s="1"/>
  <c r="I188" i="18"/>
  <c r="J188" i="18" s="1"/>
  <c r="L188" i="18" s="1"/>
  <c r="I73" i="18"/>
  <c r="J73" i="18" s="1"/>
  <c r="L73" i="18" s="1"/>
  <c r="I133" i="18"/>
  <c r="J133" i="18" s="1"/>
  <c r="L133" i="18" s="1"/>
  <c r="I66" i="18"/>
  <c r="J66" i="18" s="1"/>
  <c r="L66" i="18" s="1"/>
  <c r="I210" i="18"/>
  <c r="J210" i="18" s="1"/>
  <c r="L210" i="18" s="1"/>
  <c r="I27" i="18"/>
  <c r="J27" i="18" s="1"/>
  <c r="L27" i="18" s="1"/>
  <c r="I129" i="18"/>
  <c r="J129" i="18" s="1"/>
  <c r="L129" i="18" s="1"/>
  <c r="I88" i="18"/>
  <c r="J88" i="18" s="1"/>
  <c r="L88" i="18" s="1"/>
  <c r="I67" i="18"/>
  <c r="J67" i="18" s="1"/>
  <c r="L67" i="18" s="1"/>
  <c r="I155" i="18"/>
  <c r="J155" i="18" s="1"/>
  <c r="L155" i="18" s="1"/>
  <c r="I59" i="18"/>
  <c r="J59" i="18" s="1"/>
  <c r="L59" i="18" s="1"/>
  <c r="I51" i="18"/>
  <c r="J51" i="18" s="1"/>
  <c r="L51" i="18" s="1"/>
  <c r="J14" i="18" l="1"/>
  <c r="J212" i="18"/>
  <c r="L20" i="18"/>
  <c r="J13" i="18"/>
  <c r="L56" i="18"/>
  <c r="L212" i="18" l="1"/>
  <c r="L14" i="18"/>
  <c r="L13" i="18"/>
  <c r="M151" i="18" l="1"/>
  <c r="N151" i="18" s="1"/>
  <c r="R151" i="18" s="1"/>
  <c r="M121" i="18"/>
  <c r="N121" i="18" s="1"/>
  <c r="R121" i="18" s="1"/>
  <c r="M123" i="18"/>
  <c r="N123" i="18" s="1"/>
  <c r="R123" i="18" s="1"/>
  <c r="M180" i="18"/>
  <c r="N180" i="18" s="1"/>
  <c r="R180" i="18" s="1"/>
  <c r="M30" i="18"/>
  <c r="N30" i="18" s="1"/>
  <c r="R30" i="18" s="1"/>
  <c r="M64" i="18"/>
  <c r="N64" i="18" s="1"/>
  <c r="R64" i="18" s="1"/>
  <c r="M144" i="18"/>
  <c r="N144" i="18" s="1"/>
  <c r="R144" i="18" s="1"/>
  <c r="M147" i="18"/>
  <c r="N147" i="18" s="1"/>
  <c r="R147" i="18" s="1"/>
  <c r="M116" i="18"/>
  <c r="N116" i="18" s="1"/>
  <c r="R116" i="18" s="1"/>
  <c r="M40" i="18"/>
  <c r="N40" i="18" s="1"/>
  <c r="R40" i="18" s="1"/>
  <c r="M135" i="18"/>
  <c r="N135" i="18" s="1"/>
  <c r="R135" i="18" s="1"/>
  <c r="M206" i="18"/>
  <c r="N206" i="18" s="1"/>
  <c r="R206" i="18" s="1"/>
  <c r="M97" i="18"/>
  <c r="N97" i="18" s="1"/>
  <c r="R97" i="18" s="1"/>
  <c r="M122" i="18"/>
  <c r="N122" i="18" s="1"/>
  <c r="R122" i="18" s="1"/>
  <c r="M49" i="18"/>
  <c r="N49" i="18" s="1"/>
  <c r="R49" i="18" s="1"/>
  <c r="M108" i="18"/>
  <c r="N108" i="18" s="1"/>
  <c r="R108" i="18" s="1"/>
  <c r="M33" i="18"/>
  <c r="N33" i="18" s="1"/>
  <c r="R33" i="18" s="1"/>
  <c r="M47" i="18"/>
  <c r="N47" i="18" s="1"/>
  <c r="R47" i="18" s="1"/>
  <c r="M124" i="18"/>
  <c r="N124" i="18" s="1"/>
  <c r="R124" i="18" s="1"/>
  <c r="M80" i="18"/>
  <c r="N80" i="18" s="1"/>
  <c r="R80" i="18" s="1"/>
  <c r="M28" i="18"/>
  <c r="N28" i="18" s="1"/>
  <c r="R28" i="18" s="1"/>
  <c r="M165" i="18"/>
  <c r="N165" i="18" s="1"/>
  <c r="R165" i="18" s="1"/>
  <c r="M56" i="18"/>
  <c r="M58" i="18"/>
  <c r="N58" i="18" s="1"/>
  <c r="R58" i="18" s="1"/>
  <c r="M93" i="18"/>
  <c r="N93" i="18" s="1"/>
  <c r="R93" i="18" s="1"/>
  <c r="M54" i="18"/>
  <c r="N54" i="18" s="1"/>
  <c r="R54" i="18" s="1"/>
  <c r="M81" i="18"/>
  <c r="N81" i="18" s="1"/>
  <c r="R81" i="18" s="1"/>
  <c r="M38" i="18"/>
  <c r="N38" i="18" s="1"/>
  <c r="R38" i="18" s="1"/>
  <c r="M157" i="18"/>
  <c r="N157" i="18" s="1"/>
  <c r="R157" i="18" s="1"/>
  <c r="M163" i="18"/>
  <c r="N163" i="18" s="1"/>
  <c r="R163" i="18" s="1"/>
  <c r="M27" i="18"/>
  <c r="N27" i="18" s="1"/>
  <c r="R27" i="18" s="1"/>
  <c r="M61" i="18"/>
  <c r="N61" i="18" s="1"/>
  <c r="R61" i="18" s="1"/>
  <c r="M73" i="18"/>
  <c r="N73" i="18" s="1"/>
  <c r="R73" i="18" s="1"/>
  <c r="M171" i="18"/>
  <c r="N171" i="18" s="1"/>
  <c r="R171" i="18" s="1"/>
  <c r="M203" i="18"/>
  <c r="N203" i="18" s="1"/>
  <c r="R203" i="18" s="1"/>
  <c r="M166" i="18"/>
  <c r="N166" i="18" s="1"/>
  <c r="R166" i="18" s="1"/>
  <c r="M102" i="18"/>
  <c r="N102" i="18" s="1"/>
  <c r="R102" i="18" s="1"/>
  <c r="M209" i="18"/>
  <c r="N209" i="18" s="1"/>
  <c r="R209" i="18" s="1"/>
  <c r="M94" i="18"/>
  <c r="N94" i="18" s="1"/>
  <c r="R94" i="18" s="1"/>
  <c r="M45" i="18"/>
  <c r="N45" i="18" s="1"/>
  <c r="R45" i="18" s="1"/>
  <c r="M150" i="18"/>
  <c r="N150" i="18" s="1"/>
  <c r="R150" i="18" s="1"/>
  <c r="M70" i="18"/>
  <c r="N70" i="18" s="1"/>
  <c r="R70" i="18" s="1"/>
  <c r="M79" i="18"/>
  <c r="N79" i="18" s="1"/>
  <c r="R79" i="18" s="1"/>
  <c r="M155" i="18"/>
  <c r="N155" i="18" s="1"/>
  <c r="R155" i="18" s="1"/>
  <c r="M161" i="18"/>
  <c r="N161" i="18" s="1"/>
  <c r="R161" i="18" s="1"/>
  <c r="M83" i="18"/>
  <c r="N83" i="18" s="1"/>
  <c r="R83" i="18" s="1"/>
  <c r="M77" i="18"/>
  <c r="N77" i="18" s="1"/>
  <c r="R77" i="18" s="1"/>
  <c r="M34" i="18"/>
  <c r="N34" i="18" s="1"/>
  <c r="R34" i="18" s="1"/>
  <c r="M126" i="18"/>
  <c r="N126" i="18" s="1"/>
  <c r="R126" i="18" s="1"/>
  <c r="M204" i="18"/>
  <c r="N204" i="18" s="1"/>
  <c r="R204" i="18" s="1"/>
  <c r="M111" i="18"/>
  <c r="N111" i="18" s="1"/>
  <c r="R111" i="18" s="1"/>
  <c r="M42" i="18"/>
  <c r="N42" i="18" s="1"/>
  <c r="R42" i="18" s="1"/>
  <c r="M189" i="18"/>
  <c r="N189" i="18" s="1"/>
  <c r="R189" i="18" s="1"/>
  <c r="M87" i="18"/>
  <c r="N87" i="18" s="1"/>
  <c r="R87" i="18" s="1"/>
  <c r="M164" i="18"/>
  <c r="N164" i="18" s="1"/>
  <c r="R164" i="18" s="1"/>
  <c r="M145" i="18"/>
  <c r="N145" i="18" s="1"/>
  <c r="R145" i="18" s="1"/>
  <c r="M31" i="18"/>
  <c r="N31" i="18" s="1"/>
  <c r="R31" i="18" s="1"/>
  <c r="M184" i="18"/>
  <c r="N184" i="18" s="1"/>
  <c r="R184" i="18" s="1"/>
  <c r="M202" i="18"/>
  <c r="N202" i="18" s="1"/>
  <c r="R202" i="18" s="1"/>
  <c r="M139" i="18"/>
  <c r="N139" i="18" s="1"/>
  <c r="R139" i="18" s="1"/>
  <c r="M142" i="18"/>
  <c r="N142" i="18" s="1"/>
  <c r="R142" i="18" s="1"/>
  <c r="M153" i="18"/>
  <c r="N153" i="18" s="1"/>
  <c r="R153" i="18" s="1"/>
  <c r="M72" i="18"/>
  <c r="N72" i="18" s="1"/>
  <c r="R72" i="18" s="1"/>
  <c r="M133" i="18"/>
  <c r="N133" i="18" s="1"/>
  <c r="R133" i="18" s="1"/>
  <c r="M53" i="18"/>
  <c r="N53" i="18" s="1"/>
  <c r="R53" i="18" s="1"/>
  <c r="M154" i="18"/>
  <c r="N154" i="18" s="1"/>
  <c r="R154" i="18" s="1"/>
  <c r="M132" i="18"/>
  <c r="N132" i="18" s="1"/>
  <c r="R132" i="18" s="1"/>
  <c r="M188" i="18"/>
  <c r="N188" i="18" s="1"/>
  <c r="R188" i="18" s="1"/>
  <c r="M23" i="18"/>
  <c r="N23" i="18" s="1"/>
  <c r="R23" i="18" s="1"/>
  <c r="M89" i="18"/>
  <c r="N89" i="18" s="1"/>
  <c r="R89" i="18" s="1"/>
  <c r="M148" i="18"/>
  <c r="N148" i="18" s="1"/>
  <c r="R148" i="18" s="1"/>
  <c r="M63" i="18"/>
  <c r="N63" i="18" s="1"/>
  <c r="R63" i="18" s="1"/>
  <c r="M99" i="18"/>
  <c r="N99" i="18" s="1"/>
  <c r="R99" i="18" s="1"/>
  <c r="M136" i="18"/>
  <c r="N136" i="18" s="1"/>
  <c r="R136" i="18" s="1"/>
  <c r="M110" i="18"/>
  <c r="N110" i="18" s="1"/>
  <c r="R110" i="18" s="1"/>
  <c r="M207" i="18"/>
  <c r="N207" i="18" s="1"/>
  <c r="R207" i="18" s="1"/>
  <c r="M186" i="18"/>
  <c r="N186" i="18" s="1"/>
  <c r="R186" i="18" s="1"/>
  <c r="M84" i="18"/>
  <c r="N84" i="18" s="1"/>
  <c r="R84" i="18" s="1"/>
  <c r="M127" i="18"/>
  <c r="N127" i="18" s="1"/>
  <c r="R127" i="18" s="1"/>
  <c r="M65" i="18"/>
  <c r="N65" i="18" s="1"/>
  <c r="R65" i="18" s="1"/>
  <c r="M85" i="18"/>
  <c r="N85" i="18" s="1"/>
  <c r="R85" i="18" s="1"/>
  <c r="M173" i="18"/>
  <c r="N173" i="18" s="1"/>
  <c r="R173" i="18" s="1"/>
  <c r="M194" i="18"/>
  <c r="N194" i="18" s="1"/>
  <c r="R194" i="18" s="1"/>
  <c r="M141" i="18"/>
  <c r="N141" i="18" s="1"/>
  <c r="R141" i="18" s="1"/>
  <c r="M43" i="18"/>
  <c r="N43" i="18" s="1"/>
  <c r="R43" i="18" s="1"/>
  <c r="M119" i="18"/>
  <c r="N119" i="18" s="1"/>
  <c r="R119" i="18" s="1"/>
  <c r="M105" i="18"/>
  <c r="N105" i="18" s="1"/>
  <c r="R105" i="18" s="1"/>
  <c r="M107" i="18"/>
  <c r="N107" i="18" s="1"/>
  <c r="R107" i="18" s="1"/>
  <c r="M162" i="18"/>
  <c r="N162" i="18" s="1"/>
  <c r="R162" i="18" s="1"/>
  <c r="M185" i="18"/>
  <c r="N185" i="18" s="1"/>
  <c r="R185" i="18" s="1"/>
  <c r="M200" i="18"/>
  <c r="N200" i="18" s="1"/>
  <c r="R200" i="18" s="1"/>
  <c r="M22" i="18"/>
  <c r="N22" i="18" s="1"/>
  <c r="R22" i="18" s="1"/>
  <c r="M106" i="18"/>
  <c r="N106" i="18" s="1"/>
  <c r="R106" i="18" s="1"/>
  <c r="M199" i="18"/>
  <c r="N199" i="18" s="1"/>
  <c r="R199" i="18" s="1"/>
  <c r="M201" i="18"/>
  <c r="N201" i="18" s="1"/>
  <c r="R201" i="18" s="1"/>
  <c r="M160" i="18"/>
  <c r="N160" i="18" s="1"/>
  <c r="R160" i="18" s="1"/>
  <c r="M115" i="18"/>
  <c r="N115" i="18" s="1"/>
  <c r="R115" i="18" s="1"/>
  <c r="M129" i="18"/>
  <c r="N129" i="18" s="1"/>
  <c r="R129" i="18" s="1"/>
  <c r="M167" i="18"/>
  <c r="N167" i="18" s="1"/>
  <c r="R167" i="18" s="1"/>
  <c r="M152" i="18"/>
  <c r="N152" i="18" s="1"/>
  <c r="R152" i="18" s="1"/>
  <c r="M35" i="18"/>
  <c r="N35" i="18" s="1"/>
  <c r="R35" i="18" s="1"/>
  <c r="M96" i="18"/>
  <c r="N96" i="18" s="1"/>
  <c r="R96" i="18" s="1"/>
  <c r="M95" i="18"/>
  <c r="N95" i="18" s="1"/>
  <c r="R95" i="18" s="1"/>
  <c r="M198" i="18"/>
  <c r="N198" i="18" s="1"/>
  <c r="R198" i="18" s="1"/>
  <c r="M68" i="18"/>
  <c r="N68" i="18" s="1"/>
  <c r="R68" i="18" s="1"/>
  <c r="M104" i="18"/>
  <c r="N104" i="18" s="1"/>
  <c r="R104" i="18" s="1"/>
  <c r="M175" i="18"/>
  <c r="N175" i="18" s="1"/>
  <c r="R175" i="18" s="1"/>
  <c r="M128" i="18"/>
  <c r="N128" i="18" s="1"/>
  <c r="R128" i="18" s="1"/>
  <c r="M117" i="18"/>
  <c r="N117" i="18" s="1"/>
  <c r="R117" i="18" s="1"/>
  <c r="M48" i="18"/>
  <c r="N48" i="18" s="1"/>
  <c r="R48" i="18" s="1"/>
  <c r="M192" i="18"/>
  <c r="N192" i="18" s="1"/>
  <c r="R192" i="18" s="1"/>
  <c r="M88" i="18"/>
  <c r="N88" i="18" s="1"/>
  <c r="R88" i="18" s="1"/>
  <c r="M82" i="18"/>
  <c r="N82" i="18" s="1"/>
  <c r="R82" i="18" s="1"/>
  <c r="M130" i="18"/>
  <c r="N130" i="18" s="1"/>
  <c r="R130" i="18" s="1"/>
  <c r="M205" i="18"/>
  <c r="N205" i="18" s="1"/>
  <c r="R205" i="18" s="1"/>
  <c r="M168" i="18"/>
  <c r="N168" i="18" s="1"/>
  <c r="R168" i="18" s="1"/>
  <c r="M193" i="18"/>
  <c r="N193" i="18" s="1"/>
  <c r="R193" i="18" s="1"/>
  <c r="M86" i="18"/>
  <c r="N86" i="18" s="1"/>
  <c r="R86" i="18" s="1"/>
  <c r="M143" i="18"/>
  <c r="N143" i="18" s="1"/>
  <c r="R143" i="18" s="1"/>
  <c r="M26" i="18"/>
  <c r="N26" i="18" s="1"/>
  <c r="R26" i="18" s="1"/>
  <c r="M24" i="18"/>
  <c r="N24" i="18" s="1"/>
  <c r="R24" i="18" s="1"/>
  <c r="M74" i="18"/>
  <c r="N74" i="18" s="1"/>
  <c r="R74" i="18" s="1"/>
  <c r="M109" i="18"/>
  <c r="N109" i="18" s="1"/>
  <c r="R109" i="18" s="1"/>
  <c r="M69" i="18"/>
  <c r="N69" i="18" s="1"/>
  <c r="R69" i="18" s="1"/>
  <c r="M174" i="18"/>
  <c r="N174" i="18" s="1"/>
  <c r="R174" i="18" s="1"/>
  <c r="M25" i="18"/>
  <c r="N25" i="18" s="1"/>
  <c r="R25" i="18" s="1"/>
  <c r="M138" i="18"/>
  <c r="N138" i="18" s="1"/>
  <c r="R138" i="18" s="1"/>
  <c r="M170" i="18"/>
  <c r="N170" i="18" s="1"/>
  <c r="R170" i="18" s="1"/>
  <c r="M20" i="18"/>
  <c r="M140" i="18"/>
  <c r="N140" i="18" s="1"/>
  <c r="R140" i="18" s="1"/>
  <c r="M37" i="18"/>
  <c r="N37" i="18" s="1"/>
  <c r="R37" i="18" s="1"/>
  <c r="M98" i="18"/>
  <c r="N98" i="18" s="1"/>
  <c r="R98" i="18" s="1"/>
  <c r="M75" i="18"/>
  <c r="N75" i="18" s="1"/>
  <c r="R75" i="18" s="1"/>
  <c r="M57" i="18"/>
  <c r="N57" i="18" s="1"/>
  <c r="R57" i="18" s="1"/>
  <c r="M39" i="18"/>
  <c r="N39" i="18" s="1"/>
  <c r="R39" i="18" s="1"/>
  <c r="M60" i="18"/>
  <c r="N60" i="18" s="1"/>
  <c r="R60" i="18" s="1"/>
  <c r="M177" i="18"/>
  <c r="N177" i="18" s="1"/>
  <c r="R177" i="18" s="1"/>
  <c r="M120" i="18"/>
  <c r="N120" i="18" s="1"/>
  <c r="R120" i="18" s="1"/>
  <c r="M114" i="18"/>
  <c r="N114" i="18" s="1"/>
  <c r="R114" i="18" s="1"/>
  <c r="M156" i="18"/>
  <c r="N156" i="18" s="1"/>
  <c r="R156" i="18" s="1"/>
  <c r="M44" i="18"/>
  <c r="N44" i="18" s="1"/>
  <c r="R44" i="18" s="1"/>
  <c r="M32" i="18"/>
  <c r="N32" i="18" s="1"/>
  <c r="R32" i="18" s="1"/>
  <c r="M113" i="18"/>
  <c r="N113" i="18" s="1"/>
  <c r="R113" i="18" s="1"/>
  <c r="M195" i="18"/>
  <c r="N195" i="18" s="1"/>
  <c r="R195" i="18" s="1"/>
  <c r="M101" i="18"/>
  <c r="N101" i="18" s="1"/>
  <c r="R101" i="18" s="1"/>
  <c r="M21" i="18"/>
  <c r="N21" i="18" s="1"/>
  <c r="R21" i="18" s="1"/>
  <c r="M178" i="18"/>
  <c r="N178" i="18" s="1"/>
  <c r="R178" i="18" s="1"/>
  <c r="M62" i="18"/>
  <c r="N62" i="18" s="1"/>
  <c r="R62" i="18" s="1"/>
  <c r="M50" i="18"/>
  <c r="N50" i="18" s="1"/>
  <c r="R50" i="18" s="1"/>
  <c r="M208" i="18"/>
  <c r="N208" i="18" s="1"/>
  <c r="R208" i="18" s="1"/>
  <c r="M100" i="18"/>
  <c r="N100" i="18" s="1"/>
  <c r="R100" i="18" s="1"/>
  <c r="M76" i="18"/>
  <c r="N76" i="18" s="1"/>
  <c r="R76" i="18" s="1"/>
  <c r="M78" i="18"/>
  <c r="N78" i="18" s="1"/>
  <c r="R78" i="18" s="1"/>
  <c r="M91" i="18"/>
  <c r="N91" i="18" s="1"/>
  <c r="R91" i="18" s="1"/>
  <c r="M187" i="18"/>
  <c r="N187" i="18" s="1"/>
  <c r="R187" i="18" s="1"/>
  <c r="M103" i="18"/>
  <c r="N103" i="18" s="1"/>
  <c r="R103" i="18" s="1"/>
  <c r="M169" i="18"/>
  <c r="N169" i="18" s="1"/>
  <c r="R169" i="18" s="1"/>
  <c r="M52" i="18"/>
  <c r="N52" i="18" s="1"/>
  <c r="R52" i="18" s="1"/>
  <c r="M190" i="18"/>
  <c r="N190" i="18" s="1"/>
  <c r="R190" i="18" s="1"/>
  <c r="M211" i="18"/>
  <c r="N211" i="18" s="1"/>
  <c r="R211" i="18" s="1"/>
  <c r="M29" i="18"/>
  <c r="N29" i="18" s="1"/>
  <c r="R29" i="18" s="1"/>
  <c r="M176" i="18"/>
  <c r="N176" i="18" s="1"/>
  <c r="R176" i="18" s="1"/>
  <c r="M172" i="18"/>
  <c r="N172" i="18" s="1"/>
  <c r="R172" i="18" s="1"/>
  <c r="M41" i="18"/>
  <c r="N41" i="18" s="1"/>
  <c r="R41" i="18" s="1"/>
  <c r="M159" i="18"/>
  <c r="N159" i="18" s="1"/>
  <c r="R159" i="18" s="1"/>
  <c r="M196" i="18"/>
  <c r="N196" i="18" s="1"/>
  <c r="R196" i="18" s="1"/>
  <c r="M51" i="18"/>
  <c r="N51" i="18" s="1"/>
  <c r="R51" i="18" s="1"/>
  <c r="M191" i="18"/>
  <c r="N191" i="18" s="1"/>
  <c r="R191" i="18" s="1"/>
  <c r="M66" i="18"/>
  <c r="N66" i="18" s="1"/>
  <c r="R66" i="18" s="1"/>
  <c r="M146" i="18"/>
  <c r="N146" i="18" s="1"/>
  <c r="R146" i="18" s="1"/>
  <c r="M183" i="18"/>
  <c r="N183" i="18" s="1"/>
  <c r="R183" i="18" s="1"/>
  <c r="M112" i="18"/>
  <c r="N112" i="18" s="1"/>
  <c r="R112" i="18" s="1"/>
  <c r="M67" i="18"/>
  <c r="N67" i="18" s="1"/>
  <c r="R67" i="18" s="1"/>
  <c r="M158" i="18"/>
  <c r="N158" i="18" s="1"/>
  <c r="R158" i="18" s="1"/>
  <c r="M118" i="18"/>
  <c r="N118" i="18" s="1"/>
  <c r="R118" i="18" s="1"/>
  <c r="M179" i="18"/>
  <c r="N179" i="18" s="1"/>
  <c r="R179" i="18" s="1"/>
  <c r="M210" i="18"/>
  <c r="N210" i="18" s="1"/>
  <c r="R210" i="18" s="1"/>
  <c r="M90" i="18"/>
  <c r="N90" i="18" s="1"/>
  <c r="R90" i="18" s="1"/>
  <c r="M125" i="18"/>
  <c r="N125" i="18" s="1"/>
  <c r="R125" i="18" s="1"/>
  <c r="M182" i="18"/>
  <c r="N182" i="18" s="1"/>
  <c r="R182" i="18" s="1"/>
  <c r="M134" i="18"/>
  <c r="N134" i="18" s="1"/>
  <c r="R134" i="18" s="1"/>
  <c r="M55" i="18"/>
  <c r="N55" i="18" s="1"/>
  <c r="R55" i="18" s="1"/>
  <c r="M181" i="18"/>
  <c r="N181" i="18" s="1"/>
  <c r="R181" i="18" s="1"/>
  <c r="M149" i="18"/>
  <c r="N149" i="18" s="1"/>
  <c r="R149" i="18" s="1"/>
  <c r="M59" i="18"/>
  <c r="N59" i="18" s="1"/>
  <c r="R59" i="18" s="1"/>
  <c r="M71" i="18"/>
  <c r="N71" i="18" s="1"/>
  <c r="R71" i="18" s="1"/>
  <c r="M92" i="18"/>
  <c r="N92" i="18" s="1"/>
  <c r="R92" i="18" s="1"/>
  <c r="M131" i="18"/>
  <c r="N131" i="18" s="1"/>
  <c r="R131" i="18" s="1"/>
  <c r="M197" i="18"/>
  <c r="N197" i="18" s="1"/>
  <c r="R197" i="18" s="1"/>
  <c r="M46" i="18"/>
  <c r="N46" i="18" s="1"/>
  <c r="R46" i="18" s="1"/>
  <c r="M137" i="18"/>
  <c r="N137" i="18" s="1"/>
  <c r="R137" i="18" s="1"/>
  <c r="M36" i="18"/>
  <c r="N36" i="18" s="1"/>
  <c r="R36" i="18" s="1"/>
  <c r="M13" i="18" l="1"/>
  <c r="N56" i="18"/>
  <c r="M212" i="18"/>
  <c r="N20" i="18"/>
  <c r="N14" i="18" l="1"/>
  <c r="R20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<sst xmlns="http://schemas.openxmlformats.org/spreadsheetml/2006/main" count="418" uniqueCount="100">
  <si>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</si>
  <si>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</si>
  <si>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</si>
  <si>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</si>
  <si>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</si>
  <si>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</si>
  <si>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</si>
  <si>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</si>
  <si>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</si>
  <si>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</si>
  <si>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</si>
  <si>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</si>
  <si>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</si>
  <si>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</si>
  <si>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</si>
  <si>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</si>
  <si>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</si>
  <si>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</si>
  <si>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</si>
  <si>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</si>
  <si>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</si>
  <si>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</si>
  <si>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</si>
  <si>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</si>
  <si>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</si>
  <si>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</si>
  <si>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</si>
  <si>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</si>
  <si>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</si>
  <si>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</si>
  <si>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</si>
  <si>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</si>
  <si>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</si>
  <si>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</si>
  <si>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</si>
  <si>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</si>
  <si>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</si>
  <si>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</si>
  <si>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</si>
  <si>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</si>
  <si>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</si>
  <si>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</si>
  <si>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</si>
  <si>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</si>
  <si>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</si>
  <si>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</si>
  <si>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</si>
  <si>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</si>
  <si>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</si>
  <si>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</si>
  <si>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</si>
  <si>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</si>
  <si>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</si>
  <si>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</si>
  <si>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</si>
  <si>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</si>
  <si>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</si>
  <si>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</si>
  <si>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</si>
  <si>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</si>
  <si>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</si>
  <si>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</si>
  <si>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</si>
  <si>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</si>
  <si>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</si>
  <si>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</si>
  <si>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</si>
  <si>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</si>
  <si>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</si>
  <si>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</si>
  <si>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</si>
  <si>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</si>
  <si>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</si>
  <si>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</si>
  <si>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</si>
  <si>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</si>
  <si>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</si>
  <si>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</si>
  <si>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</si>
  <si>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</si>
  <si>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</si>
  <si>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</si>
  <si>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</si>
  <si>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</si>
  <si>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</si>
  <si>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</si>
  <si>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</si>
  <si>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</si>
  <si>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</si>
  <si>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</si>
  <si>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</si>
  <si>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</si>
  <si>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</si>
  <si>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</si>
  <si>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</si>
  <si>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</si>
  <si>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</si>
  <si>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</si>
  <si>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</si>
  <si>
    <t>2019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</si>
</sst>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166" fontId="0" fillId="0" borderId="0" xfId="1" quotePrefix="1" applyNumberFormat="1" applyFont="1" applyAlignment="1" applyProtection="1">
      <alignment horizontal="left"/>
    </xf>
    <xf numFmtId="0" fontId="0" fillId="0" borderId="10" xfId="0" quotePrefix="1" applyBorder="1" applyAlignment="1" applyProtection="1">
      <alignment horizontal="left"/>
    </xf>
    <xf numFmtId="166" fontId="0" fillId="0" borderId="0" xfId="1" applyNumberFormat="1" applyFont="1" applyProtection="1"/>
    <xf numFmtId="166" fontId="0" fillId="0" borderId="0" xfId="1" applyNumberFormat="1" applyFont="1" applyBorder="1" applyProtection="1"/>
    <xf numFmtId="43" fontId="0" fillId="0" borderId="0" xfId="0" applyNumberFormat="1" applyBorder="1" applyProtection="1"/>
    <xf numFmtId="0" fontId="0" fillId="0" borderId="18" xfId="0" applyBorder="1" applyProtection="1"/>
    <xf numFmtId="0" fontId="9" fillId="3" borderId="19" xfId="0" quotePrefix="1" applyFont="1" applyFill="1" applyBorder="1" applyAlignment="1" applyProtection="1">
      <alignment horizontal="left" vertical="center" wrapText="1"/>
    </xf>
    <xf numFmtId="165" fontId="0" fillId="3" borderId="20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3" fillId="3" borderId="22" xfId="2" applyNumberFormat="1" applyFont="1" applyFill="1" applyBorder="1" applyAlignment="1" applyProtection="1">
      <alignment vertical="center"/>
    </xf>
    <xf numFmtId="0" fontId="0" fillId="0" borderId="23" xfId="0" quotePrefix="1" applyBorder="1" applyAlignment="1" applyProtection="1">
      <alignment horizontal="left"/>
    </xf>
    <xf numFmtId="0" fontId="0" fillId="0" borderId="24" xfId="0" applyBorder="1" applyProtection="1"/>
    <xf numFmtId="0" fontId="0" fillId="0" borderId="25" xfId="0" applyBorder="1" applyProtection="1"/>
    <xf numFmtId="0" fontId="9" fillId="0" borderId="19" xfId="0" quotePrefix="1" applyFont="1" applyFill="1" applyBorder="1" applyAlignment="1" applyProtection="1">
      <alignment horizontal="left" vertical="center" wrapText="1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1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6" xfId="2" applyNumberFormat="1" applyFont="1" applyBorder="1" applyAlignment="1" applyProtection="1">
      <alignment vertical="center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0" xfId="0" applyNumberFormat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29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164" fontId="3" fillId="0" borderId="31" xfId="0" applyNumberFormat="1" applyFont="1" applyBorder="1" applyAlignment="1" applyProtection="1">
      <alignment horizontal="right"/>
    </xf>
    <xf numFmtId="167" fontId="0" fillId="0" borderId="21" xfId="0" applyNumberFormat="1" applyBorder="1" applyAlignment="1" applyProtection="1">
      <alignment horizontal="center"/>
    </xf>
    <xf numFmtId="167" fontId="0" fillId="4" borderId="31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0" xfId="0" quotePrefix="1" applyNumberFormat="1" applyFont="1" applyBorder="1" applyAlignment="1" applyProtection="1">
      <alignment horizontal="center" vertical="center" wrapText="1"/>
    </xf>
    <xf numFmtId="164" fontId="4" fillId="0" borderId="21" xfId="0" quotePrefix="1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 wrapText="1"/>
    </xf>
    <xf numFmtId="164" fontId="4" fillId="5" borderId="21" xfId="0" quotePrefix="1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4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167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006.408956712963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19-12-02T00:00:00" count="120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19-02-05T00:00:00" maxDate="2020-01-04T00:00:00"/>
    </cacheField>
    <cacheField name="Payment Received*" numFmtId="14">
      <sharedItems containsSemiMixedTypes="0" containsNonDate="0" containsDate="1" containsString="0" minDate="2019-02-20T00:00:00" maxDate="2020-01-21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89"/>
    </cacheField>
    <cacheField name="Projected Rate (as Invoiced)" numFmtId="164">
      <sharedItems containsSemiMixedTypes="0" containsString="0" containsNumber="1" minValue="0.65" maxValue="0.65"/>
    </cacheField>
    <cacheField name="Actual True-Up Rate" numFmtId="164">
      <sharedItems containsSemiMixedTypes="0" containsString="0" containsNumber="1" minValue="0.97014317238212067" maxValue="0.97014317238212067"/>
    </cacheField>
    <cacheField name="True-Up Charge" numFmtId="164">
      <sharedItems containsSemiMixedTypes="0" containsString="0" containsNumber="1" minValue="0.97014317238212067" maxValue="3966.9154318704914"/>
    </cacheField>
    <cacheField name="Invoiced*** Charge (proj.)" numFmtId="164">
      <sharedItems containsSemiMixedTypes="0" containsString="0" containsNumber="1" minValue="0.65" maxValue="2657.85"/>
    </cacheField>
    <cacheField name="True-Up w/o Interest" numFmtId="164">
      <sharedItems containsSemiMixedTypes="0" containsString="0" containsNumber="1" minValue="0.32014317238212064" maxValue="1309.0654318704915"/>
    </cacheField>
    <cacheField name="Interest" numFmtId="164">
      <sharedItems containsSemiMixedTypes="0" containsString="0" containsNumber="1" minValue="1.6087336182620086E-2" maxValue="65.781117650733535"/>
    </cacheField>
    <cacheField name="2019 True Up Including Interest" numFmtId="164">
      <sharedItems containsSemiMixedTypes="0" containsString="0" containsNumber="1" minValue="0.33623050856474074" maxValue="1374.8465495212249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0.33623050856474074" maxValue="1374.8465495212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19-02-05T00:00:00"/>
    <d v="2019-02-20T00:00:00"/>
    <x v="0"/>
    <n v="9"/>
    <n v="2561"/>
    <n v="0.65"/>
    <n v="0.97014317238212067"/>
    <n v="2484.536664470611"/>
    <n v="1664.65"/>
    <n v="819.88666447061087"/>
    <n v="41.19966796369004"/>
    <n v="861.08633243430086"/>
    <n v="0"/>
    <n v="0"/>
    <n v="0"/>
    <n v="861.08633243430086"/>
  </r>
  <r>
    <x v="1"/>
    <d v="2019-03-05T00:00:00"/>
    <d v="2019-03-20T00:00:00"/>
    <x v="0"/>
    <n v="9"/>
    <n v="2792"/>
    <n v="0.65"/>
    <n v="0.97014317238212067"/>
    <n v="2708.6397372908809"/>
    <n v="1814.8"/>
    <n v="893.83973729088098"/>
    <n v="44.915842621875278"/>
    <n v="938.75557991275628"/>
    <n v="0"/>
    <n v="0"/>
    <n v="0"/>
    <n v="938.75557991275628"/>
  </r>
  <r>
    <x v="2"/>
    <d v="2019-04-03T00:00:00"/>
    <d v="2019-04-18T00:00:00"/>
    <x v="0"/>
    <n v="9"/>
    <n v="2805"/>
    <n v="0.65"/>
    <n v="0.97014317238212067"/>
    <n v="2721.2515985318487"/>
    <n v="1823.25"/>
    <n v="898.00159853184869"/>
    <n v="45.124977992249342"/>
    <n v="943.12657652409803"/>
    <n v="0"/>
    <n v="0"/>
    <n v="0"/>
    <n v="943.12657652409803"/>
  </r>
  <r>
    <x v="3"/>
    <d v="2019-05-03T00:00:00"/>
    <d v="2019-05-20T00:00:00"/>
    <x v="0"/>
    <n v="9"/>
    <n v="2574"/>
    <n v="0.65"/>
    <n v="0.97014317238212067"/>
    <n v="2497.1485257115787"/>
    <n v="1673.1000000000001"/>
    <n v="824.04852571157858"/>
    <n v="41.408803334064103"/>
    <n v="865.45732904564272"/>
    <n v="0"/>
    <n v="0"/>
    <n v="0"/>
    <n v="865.45732904564272"/>
  </r>
  <r>
    <x v="4"/>
    <d v="2019-06-05T00:00:00"/>
    <d v="2019-06-20T00:00:00"/>
    <x v="0"/>
    <n v="9"/>
    <n v="2970"/>
    <n v="0.65"/>
    <n v="0.97014317238212067"/>
    <n v="2881.3252219748983"/>
    <n v="1930.5"/>
    <n v="950.82522197489834"/>
    <n v="47.779388462381654"/>
    <n v="998.60461043728003"/>
    <n v="0"/>
    <n v="0"/>
    <n v="0"/>
    <n v="998.60461043728003"/>
  </r>
  <r>
    <x v="5"/>
    <d v="2019-07-03T00:00:00"/>
    <d v="2019-07-18T00:00:00"/>
    <x v="0"/>
    <n v="9"/>
    <n v="3724"/>
    <n v="0.65"/>
    <n v="0.97014317238212067"/>
    <n v="3612.8131739510172"/>
    <n v="2420.6"/>
    <n v="1192.2131739510173"/>
    <n v="59.9092399440772"/>
    <n v="1252.1224138950945"/>
    <n v="0"/>
    <n v="0"/>
    <n v="0"/>
    <n v="1252.1224138950945"/>
  </r>
  <r>
    <x v="6"/>
    <d v="2019-08-05T00:00:00"/>
    <d v="2019-08-20T00:00:00"/>
    <x v="0"/>
    <n v="9"/>
    <n v="3923"/>
    <n v="0.65"/>
    <n v="0.97014317238212067"/>
    <n v="3805.8716652550593"/>
    <n v="2549.9500000000003"/>
    <n v="1255.921665255059"/>
    <n v="63.110619844418601"/>
    <n v="1319.0322850994776"/>
    <n v="0"/>
    <n v="0"/>
    <n v="0"/>
    <n v="1319.0322850994776"/>
  </r>
  <r>
    <x v="7"/>
    <d v="2019-09-04T00:00:00"/>
    <d v="2019-09-19T00:00:00"/>
    <x v="0"/>
    <n v="9"/>
    <n v="4089"/>
    <n v="0.65"/>
    <n v="0.97014317238212067"/>
    <n v="3966.9154318704914"/>
    <n v="2657.85"/>
    <n v="1309.0654318704915"/>
    <n v="65.781117650733535"/>
    <n v="1374.8465495212249"/>
    <n v="0"/>
    <n v="0"/>
    <n v="0"/>
    <n v="1374.8465495212249"/>
  </r>
  <r>
    <x v="8"/>
    <d v="2019-10-03T00:00:00"/>
    <d v="2019-10-18T00:00:00"/>
    <x v="0"/>
    <n v="9"/>
    <n v="3731"/>
    <n v="0.65"/>
    <n v="0.97014317238212067"/>
    <n v="3619.6041761576921"/>
    <n v="2425.15"/>
    <n v="1194.454176157692"/>
    <n v="60.021851297355539"/>
    <n v="1254.4760274550476"/>
    <n v="0"/>
    <n v="0"/>
    <n v="0"/>
    <n v="1254.4760274550476"/>
  </r>
  <r>
    <x v="9"/>
    <d v="2019-11-05T00:00:00"/>
    <d v="2019-11-20T00:00:00"/>
    <x v="0"/>
    <n v="9"/>
    <n v="3527"/>
    <n v="0.65"/>
    <n v="0.97014317238212067"/>
    <n v="3421.6949689917396"/>
    <n v="2292.5500000000002"/>
    <n v="1129.1449689917395"/>
    <n v="56.740034716101043"/>
    <n v="1185.8850037078405"/>
    <n v="0"/>
    <n v="0"/>
    <n v="0"/>
    <n v="1185.8850037078405"/>
  </r>
  <r>
    <x v="10"/>
    <d v="2019-12-04T00:00:00"/>
    <d v="2019-12-19T00:00:00"/>
    <x v="0"/>
    <n v="9"/>
    <n v="2569"/>
    <n v="0.65"/>
    <n v="0.97014317238212067"/>
    <n v="2492.2978098496678"/>
    <n v="1669.8500000000001"/>
    <n v="822.44780984966769"/>
    <n v="41.328366653151001"/>
    <n v="863.77617650281866"/>
    <n v="0"/>
    <n v="0"/>
    <n v="0"/>
    <n v="863.77617650281866"/>
  </r>
  <r>
    <x v="11"/>
    <d v="2020-01-03T00:00:00"/>
    <d v="2020-01-20T00:00:00"/>
    <x v="0"/>
    <n v="9"/>
    <n v="2599"/>
    <n v="0.65"/>
    <n v="0.97014317238212067"/>
    <n v="2521.4021050211318"/>
    <n v="1689.3500000000001"/>
    <n v="832.05210502113164"/>
    <n v="41.810986738629602"/>
    <n v="873.86309175976123"/>
    <n v="0"/>
    <n v="0"/>
    <n v="0"/>
    <n v="873.86309175976123"/>
  </r>
  <r>
    <x v="0"/>
    <d v="2019-02-05T00:00:00"/>
    <d v="2019-02-20T00:00:00"/>
    <x v="1"/>
    <n v="9"/>
    <n v="2997"/>
    <n v="0.65"/>
    <n v="0.97014317238212067"/>
    <n v="2907.5190876292158"/>
    <n v="1948.05"/>
    <n v="959.46908762921589"/>
    <n v="48.213746539312396"/>
    <n v="1007.6828341685283"/>
    <n v="0"/>
    <n v="0"/>
    <n v="0"/>
    <n v="1007.6828341685283"/>
  </r>
  <r>
    <x v="1"/>
    <d v="2019-03-05T00:00:00"/>
    <d v="2019-03-20T00:00:00"/>
    <x v="1"/>
    <n v="9"/>
    <n v="2891"/>
    <n v="0.65"/>
    <n v="0.97014317238212067"/>
    <n v="2804.6839113567107"/>
    <n v="1879.15"/>
    <n v="925.53391135671063"/>
    <n v="46.508488903954671"/>
    <n v="972.04240026066532"/>
    <n v="0"/>
    <n v="0"/>
    <n v="0"/>
    <n v="972.04240026066532"/>
  </r>
  <r>
    <x v="2"/>
    <d v="2019-04-03T00:00:00"/>
    <d v="2019-04-18T00:00:00"/>
    <x v="1"/>
    <n v="9"/>
    <n v="2972"/>
    <n v="0.65"/>
    <n v="0.97014317238212067"/>
    <n v="2883.2655083196628"/>
    <n v="1931.8"/>
    <n v="951.46550831966283"/>
    <n v="47.811563134746898"/>
    <n v="999.27707145440968"/>
    <n v="0"/>
    <n v="0"/>
    <n v="0"/>
    <n v="999.27707145440968"/>
  </r>
  <r>
    <x v="3"/>
    <d v="2019-05-03T00:00:00"/>
    <d v="2019-05-20T00:00:00"/>
    <x v="1"/>
    <n v="9"/>
    <n v="2449"/>
    <n v="0.65"/>
    <n v="0.97014317238212067"/>
    <n v="2375.8806291638134"/>
    <n v="1591.8500000000001"/>
    <n v="784.03062916381327"/>
    <n v="39.39788631123659"/>
    <n v="823.42851547504984"/>
    <n v="0"/>
    <n v="0"/>
    <n v="0"/>
    <n v="823.42851547504984"/>
  </r>
  <r>
    <x v="4"/>
    <d v="2019-06-05T00:00:00"/>
    <d v="2019-06-20T00:00:00"/>
    <x v="1"/>
    <n v="9"/>
    <n v="3052"/>
    <n v="0.65"/>
    <n v="0.97014317238212067"/>
    <n v="2960.8769621102324"/>
    <n v="1983.8"/>
    <n v="977.07696211023244"/>
    <n v="49.098550029356502"/>
    <n v="1026.175512139589"/>
    <n v="0"/>
    <n v="0"/>
    <n v="0"/>
    <n v="1026.175512139589"/>
  </r>
  <r>
    <x v="5"/>
    <d v="2019-07-03T00:00:00"/>
    <d v="2019-07-18T00:00:00"/>
    <x v="1"/>
    <n v="9"/>
    <n v="3362"/>
    <n v="0.65"/>
    <n v="0.97014317238212067"/>
    <n v="3261.6213455486895"/>
    <n v="2185.3000000000002"/>
    <n v="1076.3213455486894"/>
    <n v="54.085624245968731"/>
    <n v="1130.4069697946582"/>
    <n v="0"/>
    <n v="0"/>
    <n v="0"/>
    <n v="1130.4069697946582"/>
  </r>
  <r>
    <x v="6"/>
    <d v="2019-08-05T00:00:00"/>
    <d v="2019-08-20T00:00:00"/>
    <x v="1"/>
    <n v="9"/>
    <n v="3457"/>
    <n v="0.65"/>
    <n v="0.97014317238212067"/>
    <n v="3353.7849469249913"/>
    <n v="2247.0500000000002"/>
    <n v="1106.7349469249912"/>
    <n v="55.613921183317629"/>
    <n v="1162.3488681083088"/>
    <n v="0"/>
    <n v="0"/>
    <n v="0"/>
    <n v="1162.3488681083088"/>
  </r>
  <r>
    <x v="7"/>
    <d v="2019-09-04T00:00:00"/>
    <d v="2019-09-19T00:00:00"/>
    <x v="1"/>
    <n v="9"/>
    <n v="3664"/>
    <n v="0.65"/>
    <n v="0.97014317238212067"/>
    <n v="3554.6045836080903"/>
    <n v="2381.6"/>
    <n v="1173.0045836080903"/>
    <n v="58.943999773119998"/>
    <n v="1231.9485833812103"/>
    <n v="0"/>
    <n v="0"/>
    <n v="0"/>
    <n v="1231.9485833812103"/>
  </r>
  <r>
    <x v="8"/>
    <d v="2019-10-03T00:00:00"/>
    <d v="2019-10-18T00:00:00"/>
    <x v="1"/>
    <n v="9"/>
    <n v="3474"/>
    <n v="0.65"/>
    <n v="0.97014317238212067"/>
    <n v="3370.2773808554871"/>
    <n v="2258.1"/>
    <n v="1112.1773808554872"/>
    <n v="55.88740589842218"/>
    <n v="1168.0647867539094"/>
    <n v="0"/>
    <n v="0"/>
    <n v="0"/>
    <n v="1168.0647867539094"/>
  </r>
  <r>
    <x v="9"/>
    <d v="2019-11-05T00:00:00"/>
    <d v="2019-11-20T00:00:00"/>
    <x v="1"/>
    <n v="9"/>
    <n v="3301"/>
    <n v="0.65"/>
    <n v="0.97014317238212067"/>
    <n v="3202.4426120333801"/>
    <n v="2145.65"/>
    <n v="1056.79261203338"/>
    <n v="53.104296738828907"/>
    <n v="1109.8969087722089"/>
    <n v="0"/>
    <n v="0"/>
    <n v="0"/>
    <n v="1109.8969087722089"/>
  </r>
  <r>
    <x v="10"/>
    <d v="2019-12-04T00:00:00"/>
    <d v="2019-12-19T00:00:00"/>
    <x v="1"/>
    <n v="9"/>
    <n v="2932"/>
    <n v="0.65"/>
    <n v="0.97014317238212067"/>
    <n v="2844.459781424378"/>
    <n v="1905.8"/>
    <n v="938.65978142437802"/>
    <n v="47.168069687442092"/>
    <n v="985.82785111182011"/>
    <n v="0"/>
    <n v="0"/>
    <n v="0"/>
    <n v="985.82785111182011"/>
  </r>
  <r>
    <x v="11"/>
    <d v="2020-01-03T00:00:00"/>
    <d v="2020-01-20T00:00:00"/>
    <x v="1"/>
    <n v="9"/>
    <n v="2839"/>
    <n v="0.65"/>
    <n v="0.97014317238212067"/>
    <n v="2754.2364663928406"/>
    <n v="1845.3500000000001"/>
    <n v="908.88646639284048"/>
    <n v="45.671947422458423"/>
    <n v="954.55841381529888"/>
    <n v="0"/>
    <n v="0"/>
    <n v="0"/>
    <n v="954.55841381529888"/>
  </r>
  <r>
    <x v="0"/>
    <d v="2019-02-05T00:00:00"/>
    <d v="2019-02-20T00:00:00"/>
    <x v="2"/>
    <n v="9"/>
    <n v="157"/>
    <n v="0.65"/>
    <n v="0.97014317238212067"/>
    <n v="152.31247806399296"/>
    <n v="102.05"/>
    <n v="50.262478063992958"/>
    <n v="2.5257117806713536"/>
    <n v="52.788189844664309"/>
    <n v="0"/>
    <n v="0"/>
    <n v="0"/>
    <n v="52.788189844664309"/>
  </r>
  <r>
    <x v="1"/>
    <d v="2019-03-05T00:00:00"/>
    <d v="2019-03-20T00:00:00"/>
    <x v="2"/>
    <n v="9"/>
    <n v="138"/>
    <n v="0.65"/>
    <n v="0.97014317238212067"/>
    <n v="133.87975778873266"/>
    <n v="89.7"/>
    <n v="44.179757788732658"/>
    <n v="2.2200523932015717"/>
    <n v="46.399810181934228"/>
    <n v="0"/>
    <n v="0"/>
    <n v="0"/>
    <n v="46.399810181934228"/>
  </r>
  <r>
    <x v="2"/>
    <d v="2019-04-03T00:00:00"/>
    <d v="2019-04-18T00:00:00"/>
    <x v="2"/>
    <n v="9"/>
    <n v="153"/>
    <n v="0.65"/>
    <n v="0.97014317238212067"/>
    <n v="148.43190537446446"/>
    <n v="99.45"/>
    <n v="48.981905374464461"/>
    <n v="2.4613624359408734"/>
    <n v="51.443267810405331"/>
    <n v="0"/>
    <n v="0"/>
    <n v="0"/>
    <n v="51.443267810405331"/>
  </r>
  <r>
    <x v="3"/>
    <d v="2019-05-03T00:00:00"/>
    <d v="2019-05-20T00:00:00"/>
    <x v="2"/>
    <n v="9"/>
    <n v="85"/>
    <n v="0.65"/>
    <n v="0.97014317238212067"/>
    <n v="82.462169652480256"/>
    <n v="55.25"/>
    <n v="27.212169652480256"/>
    <n v="1.3674235755227073"/>
    <n v="28.579593228002963"/>
    <n v="0"/>
    <n v="0"/>
    <n v="0"/>
    <n v="28.579593228002963"/>
  </r>
  <r>
    <x v="4"/>
    <d v="2019-06-05T00:00:00"/>
    <d v="2019-06-20T00:00:00"/>
    <x v="2"/>
    <n v="9"/>
    <n v="115"/>
    <n v="0.65"/>
    <n v="0.97014317238212067"/>
    <n v="111.56646482394387"/>
    <n v="74.75"/>
    <n v="36.816464823943875"/>
    <n v="1.85004366100131"/>
    <n v="38.666508484945183"/>
    <n v="0"/>
    <n v="0"/>
    <n v="0"/>
    <n v="38.666508484945183"/>
  </r>
  <r>
    <x v="5"/>
    <d v="2019-07-03T00:00:00"/>
    <d v="2019-07-18T00:00:00"/>
    <x v="2"/>
    <n v="9"/>
    <n v="119"/>
    <n v="0.65"/>
    <n v="0.97014317238212067"/>
    <n v="115.44703751347235"/>
    <n v="77.350000000000009"/>
    <n v="38.097037513472344"/>
    <n v="1.9143930057317902"/>
    <n v="40.011430519204133"/>
    <n v="0"/>
    <n v="0"/>
    <n v="0"/>
    <n v="40.011430519204133"/>
  </r>
  <r>
    <x v="6"/>
    <d v="2019-08-05T00:00:00"/>
    <d v="2019-08-20T00:00:00"/>
    <x v="2"/>
    <n v="9"/>
    <n v="136"/>
    <n v="0.65"/>
    <n v="0.97014317238212067"/>
    <n v="131.93947144396842"/>
    <n v="88.4"/>
    <n v="43.539471443968409"/>
    <n v="2.1878777208363318"/>
    <n v="45.727349164804743"/>
    <n v="0"/>
    <n v="0"/>
    <n v="0"/>
    <n v="45.727349164804743"/>
  </r>
  <r>
    <x v="7"/>
    <d v="2019-09-04T00:00:00"/>
    <d v="2019-09-19T00:00:00"/>
    <x v="2"/>
    <n v="9"/>
    <n v="141"/>
    <n v="0.65"/>
    <n v="0.97014317238212067"/>
    <n v="136.79018730587902"/>
    <n v="91.65"/>
    <n v="45.14018730587901"/>
    <n v="2.2683144017494321"/>
    <n v="47.408501707628446"/>
    <n v="0"/>
    <n v="0"/>
    <n v="0"/>
    <n v="47.408501707628446"/>
  </r>
  <r>
    <x v="8"/>
    <d v="2019-10-03T00:00:00"/>
    <d v="2019-10-18T00:00:00"/>
    <x v="2"/>
    <n v="9"/>
    <n v="137"/>
    <n v="0.65"/>
    <n v="0.97014317238212067"/>
    <n v="132.90961461635052"/>
    <n v="89.05"/>
    <n v="43.859614616350527"/>
    <n v="2.203965057018952"/>
    <n v="46.063579673369482"/>
    <n v="0"/>
    <n v="0"/>
    <n v="0"/>
    <n v="46.063579673369482"/>
  </r>
  <r>
    <x v="9"/>
    <d v="2019-11-05T00:00:00"/>
    <d v="2019-11-20T00:00:00"/>
    <x v="2"/>
    <n v="9"/>
    <n v="125"/>
    <n v="0.65"/>
    <n v="0.97014317238212067"/>
    <n v="121.26789654776508"/>
    <n v="81.25"/>
    <n v="40.017896547765076"/>
    <n v="2.0109170228275111"/>
    <n v="42.02881357059259"/>
    <n v="0"/>
    <n v="0"/>
    <n v="0"/>
    <n v="42.02881357059259"/>
  </r>
  <r>
    <x v="10"/>
    <d v="2019-12-04T00:00:00"/>
    <d v="2019-12-19T00:00:00"/>
    <x v="2"/>
    <n v="9"/>
    <n v="157"/>
    <n v="0.65"/>
    <n v="0.97014317238212067"/>
    <n v="152.31247806399296"/>
    <n v="102.05"/>
    <n v="50.262478063992958"/>
    <n v="2.5257117806713536"/>
    <n v="52.788189844664309"/>
    <n v="0"/>
    <n v="0"/>
    <n v="0"/>
    <n v="52.788189844664309"/>
  </r>
  <r>
    <x v="11"/>
    <d v="2020-01-03T00:00:00"/>
    <d v="2020-01-20T00:00:00"/>
    <x v="2"/>
    <n v="9"/>
    <n v="152"/>
    <n v="0.65"/>
    <n v="0.97014317238212067"/>
    <n v="147.46176220208235"/>
    <n v="98.8"/>
    <n v="48.661762202082357"/>
    <n v="2.4452750997582533"/>
    <n v="51.107037301840613"/>
    <n v="0"/>
    <n v="0"/>
    <n v="0"/>
    <n v="51.107037301840613"/>
  </r>
  <r>
    <x v="0"/>
    <d v="2019-02-05T00:00:00"/>
    <d v="2019-02-20T00:00:00"/>
    <x v="3"/>
    <n v="9"/>
    <n v="765"/>
    <n v="0.65"/>
    <n v="0.97014317238212067"/>
    <n v="742.15952687232232"/>
    <n v="497.25"/>
    <n v="244.90952687232232"/>
    <n v="12.306812179704366"/>
    <n v="257.21633905202668"/>
    <n v="0"/>
    <n v="0"/>
    <n v="0"/>
    <n v="257.21633905202668"/>
  </r>
  <r>
    <x v="1"/>
    <d v="2019-03-05T00:00:00"/>
    <d v="2019-03-20T00:00:00"/>
    <x v="3"/>
    <n v="9"/>
    <n v="823"/>
    <n v="0.65"/>
    <n v="0.97014317238212067"/>
    <n v="798.42783087048531"/>
    <n v="534.95000000000005"/>
    <n v="263.47783087048526"/>
    <n v="13.239877678296331"/>
    <n v="276.71770854878162"/>
    <n v="0"/>
    <n v="0"/>
    <n v="0"/>
    <n v="276.71770854878162"/>
  </r>
  <r>
    <x v="2"/>
    <d v="2019-04-03T00:00:00"/>
    <d v="2019-04-18T00:00:00"/>
    <x v="3"/>
    <n v="9"/>
    <n v="810"/>
    <n v="0.65"/>
    <n v="0.97014317238212067"/>
    <n v="785.81596962951778"/>
    <n v="526.5"/>
    <n v="259.31596962951778"/>
    <n v="13.030742307922271"/>
    <n v="272.34671193744003"/>
    <n v="0"/>
    <n v="0"/>
    <n v="0"/>
    <n v="272.34671193744003"/>
  </r>
  <r>
    <x v="3"/>
    <d v="2019-05-03T00:00:00"/>
    <d v="2019-05-20T00:00:00"/>
    <x v="3"/>
    <n v="9"/>
    <n v="488"/>
    <n v="0.65"/>
    <n v="0.97014317238212067"/>
    <n v="473.42986812247489"/>
    <n v="317.2"/>
    <n v="156.2298681224749"/>
    <n v="7.8506200571186016"/>
    <n v="164.08048817959349"/>
    <n v="0"/>
    <n v="0"/>
    <n v="0"/>
    <n v="164.08048817959349"/>
  </r>
  <r>
    <x v="4"/>
    <d v="2019-06-05T00:00:00"/>
    <d v="2019-06-20T00:00:00"/>
    <x v="3"/>
    <n v="9"/>
    <n v="697"/>
    <n v="0.65"/>
    <n v="0.97014317238212067"/>
    <n v="676.18979115033812"/>
    <n v="453.05"/>
    <n v="223.13979115033811"/>
    <n v="11.212873319286199"/>
    <n v="234.3526644696243"/>
    <n v="0"/>
    <n v="0"/>
    <n v="0"/>
    <n v="234.3526644696243"/>
  </r>
  <r>
    <x v="5"/>
    <d v="2019-07-03T00:00:00"/>
    <d v="2019-07-18T00:00:00"/>
    <x v="3"/>
    <n v="9"/>
    <n v="805"/>
    <n v="0.65"/>
    <n v="0.97014317238212067"/>
    <n v="780.96525376760712"/>
    <n v="523.25"/>
    <n v="257.71525376760712"/>
    <n v="12.950305627009168"/>
    <n v="270.66555939461631"/>
    <n v="0"/>
    <n v="0"/>
    <n v="0"/>
    <n v="270.66555939461631"/>
  </r>
  <r>
    <x v="6"/>
    <d v="2019-08-05T00:00:00"/>
    <d v="2019-08-20T00:00:00"/>
    <x v="3"/>
    <n v="9"/>
    <n v="840"/>
    <n v="0.65"/>
    <n v="0.97014317238212067"/>
    <n v="814.92026480098139"/>
    <n v="546"/>
    <n v="268.92026480098139"/>
    <n v="13.513362393400872"/>
    <n v="282.43362719438227"/>
    <n v="0"/>
    <n v="0"/>
    <n v="0"/>
    <n v="282.43362719438227"/>
  </r>
  <r>
    <x v="7"/>
    <d v="2019-09-04T00:00:00"/>
    <d v="2019-09-19T00:00:00"/>
    <x v="3"/>
    <n v="9"/>
    <n v="890"/>
    <n v="0.65"/>
    <n v="0.97014317238212067"/>
    <n v="863.42742342008739"/>
    <n v="578.5"/>
    <n v="284.92742342008739"/>
    <n v="14.317729202531876"/>
    <n v="299.24515262261929"/>
    <n v="0"/>
    <n v="0"/>
    <n v="0"/>
    <n v="299.24515262261929"/>
  </r>
  <r>
    <x v="8"/>
    <d v="2019-10-03T00:00:00"/>
    <d v="2019-10-18T00:00:00"/>
    <x v="3"/>
    <n v="9"/>
    <n v="818"/>
    <n v="0.65"/>
    <n v="0.97014317238212067"/>
    <n v="793.57711500857465"/>
    <n v="531.70000000000005"/>
    <n v="261.87711500857461"/>
    <n v="13.159440997383232"/>
    <n v="275.03655600595783"/>
    <n v="0"/>
    <n v="0"/>
    <n v="0"/>
    <n v="275.03655600595783"/>
  </r>
  <r>
    <x v="9"/>
    <d v="2019-11-05T00:00:00"/>
    <d v="2019-11-20T00:00:00"/>
    <x v="3"/>
    <n v="9"/>
    <n v="759"/>
    <n v="0.65"/>
    <n v="0.97014317238212067"/>
    <n v="736.33866783802955"/>
    <n v="493.35"/>
    <n v="242.98866783802953"/>
    <n v="12.210288162608645"/>
    <n v="255.19895600063816"/>
    <n v="0"/>
    <n v="0"/>
    <n v="0"/>
    <n v="255.19895600063816"/>
  </r>
  <r>
    <x v="10"/>
    <d v="2019-12-04T00:00:00"/>
    <d v="2019-12-19T00:00:00"/>
    <x v="3"/>
    <n v="9"/>
    <n v="740"/>
    <n v="0.65"/>
    <n v="0.97014317238212067"/>
    <n v="717.90594756276926"/>
    <n v="481"/>
    <n v="236.90594756276926"/>
    <n v="11.904628775138864"/>
    <n v="248.81057633790812"/>
    <n v="0"/>
    <n v="0"/>
    <n v="0"/>
    <n v="248.81057633790812"/>
  </r>
  <r>
    <x v="11"/>
    <d v="2020-01-03T00:00:00"/>
    <d v="2020-01-20T00:00:00"/>
    <x v="3"/>
    <n v="9"/>
    <n v="752"/>
    <n v="0.65"/>
    <n v="0.97014317238212067"/>
    <n v="729.54766563135479"/>
    <n v="488.8"/>
    <n v="240.74766563135478"/>
    <n v="12.097676809330304"/>
    <n v="252.84534244068507"/>
    <n v="0"/>
    <n v="0"/>
    <n v="0"/>
    <n v="252.84534244068507"/>
  </r>
  <r>
    <x v="0"/>
    <d v="2019-02-05T00:00:00"/>
    <d v="2019-02-20T00:00:00"/>
    <x v="4"/>
    <n v="9"/>
    <n v="38"/>
    <n v="0.65"/>
    <n v="0.97014317238212067"/>
    <n v="36.865440550520589"/>
    <n v="24.7"/>
    <n v="12.165440550520589"/>
    <n v="0.61131877493956333"/>
    <n v="12.776759325460153"/>
    <n v="0"/>
    <n v="0"/>
    <n v="0"/>
    <n v="12.776759325460153"/>
  </r>
  <r>
    <x v="1"/>
    <d v="2019-03-05T00:00:00"/>
    <d v="2019-03-20T00:00:00"/>
    <x v="4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2"/>
    <d v="2019-04-03T00:00:00"/>
    <d v="2019-04-18T00:00:00"/>
    <x v="4"/>
    <n v="9"/>
    <n v="45"/>
    <n v="0.65"/>
    <n v="0.97014317238212067"/>
    <n v="43.656442757195428"/>
    <n v="29.25"/>
    <n v="14.406442757195428"/>
    <n v="0.72393012821790381"/>
    <n v="15.130372885413331"/>
    <n v="0"/>
    <n v="0"/>
    <n v="0"/>
    <n v="15.130372885413331"/>
  </r>
  <r>
    <x v="3"/>
    <d v="2019-05-03T00:00:00"/>
    <d v="2019-05-20T00:00:00"/>
    <x v="4"/>
    <n v="9"/>
    <n v="22"/>
    <n v="0.65"/>
    <n v="0.97014317238212067"/>
    <n v="21.343149792406656"/>
    <n v="14.3"/>
    <n v="7.0431497924066555"/>
    <n v="0.35392139601764189"/>
    <n v="7.397071188424297"/>
    <n v="0"/>
    <n v="0"/>
    <n v="0"/>
    <n v="7.397071188424297"/>
  </r>
  <r>
    <x v="4"/>
    <d v="2019-06-05T00:00:00"/>
    <d v="2019-06-20T00:00:00"/>
    <x v="4"/>
    <n v="9"/>
    <n v="31"/>
    <n v="0.65"/>
    <n v="0.97014317238212067"/>
    <n v="30.074438343845742"/>
    <n v="20.150000000000002"/>
    <n v="9.9244383438457398"/>
    <n v="0.49870742166122267"/>
    <n v="10.423145765506963"/>
    <n v="0"/>
    <n v="0"/>
    <n v="0"/>
    <n v="10.423145765506963"/>
  </r>
  <r>
    <x v="5"/>
    <d v="2019-07-03T00:00:00"/>
    <d v="2019-07-18T00:00:00"/>
    <x v="4"/>
    <n v="9"/>
    <n v="44"/>
    <n v="0.65"/>
    <n v="0.97014317238212067"/>
    <n v="42.686299584813312"/>
    <n v="28.6"/>
    <n v="14.086299584813311"/>
    <n v="0.70784279203528377"/>
    <n v="14.794142376848594"/>
    <n v="0"/>
    <n v="0"/>
    <n v="0"/>
    <n v="14.794142376848594"/>
  </r>
  <r>
    <x v="6"/>
    <d v="2019-08-05T00:00:00"/>
    <d v="2019-08-20T00:00:00"/>
    <x v="4"/>
    <n v="9"/>
    <n v="47"/>
    <n v="0.65"/>
    <n v="0.97014317238212067"/>
    <n v="45.596729101959674"/>
    <n v="30.55"/>
    <n v="15.046729101959674"/>
    <n v="0.756104800583144"/>
    <n v="15.802833902542817"/>
    <n v="0"/>
    <n v="0"/>
    <n v="0"/>
    <n v="15.802833902542817"/>
  </r>
  <r>
    <x v="7"/>
    <d v="2019-09-04T00:00:00"/>
    <d v="2019-09-19T00:00:00"/>
    <x v="4"/>
    <n v="9"/>
    <n v="50"/>
    <n v="0.65"/>
    <n v="0.97014317238212067"/>
    <n v="48.507158619106036"/>
    <n v="32.5"/>
    <n v="16.007158619106036"/>
    <n v="0.80436680913100433"/>
    <n v="16.81152542823704"/>
    <n v="0"/>
    <n v="0"/>
    <n v="0"/>
    <n v="16.81152542823704"/>
  </r>
  <r>
    <x v="8"/>
    <d v="2019-10-03T00:00:00"/>
    <d v="2019-10-18T00:00:00"/>
    <x v="4"/>
    <n v="9"/>
    <n v="45"/>
    <n v="0.65"/>
    <n v="0.97014317238212067"/>
    <n v="43.656442757195428"/>
    <n v="29.25"/>
    <n v="14.406442757195428"/>
    <n v="0.72393012821790381"/>
    <n v="15.130372885413331"/>
    <n v="0"/>
    <n v="0"/>
    <n v="0"/>
    <n v="15.130372885413331"/>
  </r>
  <r>
    <x v="9"/>
    <d v="2019-11-05T00:00:00"/>
    <d v="2019-11-20T00:00:00"/>
    <x v="4"/>
    <n v="9"/>
    <n v="37"/>
    <n v="0.65"/>
    <n v="0.97014317238212067"/>
    <n v="35.895297378138466"/>
    <n v="24.05"/>
    <n v="11.845297378138465"/>
    <n v="0.59523143875694318"/>
    <n v="12.440528816895409"/>
    <n v="0"/>
    <n v="0"/>
    <n v="0"/>
    <n v="12.440528816895409"/>
  </r>
  <r>
    <x v="10"/>
    <d v="2019-12-04T00:00:00"/>
    <d v="2019-12-19T00:00:00"/>
    <x v="4"/>
    <n v="9"/>
    <n v="38"/>
    <n v="0.65"/>
    <n v="0.97014317238212067"/>
    <n v="36.865440550520589"/>
    <n v="24.7"/>
    <n v="12.165440550520589"/>
    <n v="0.61131877493956333"/>
    <n v="12.776759325460153"/>
    <n v="0"/>
    <n v="0"/>
    <n v="0"/>
    <n v="12.776759325460153"/>
  </r>
  <r>
    <x v="11"/>
    <d v="2020-01-03T00:00:00"/>
    <d v="2020-01-20T00:00:00"/>
    <x v="4"/>
    <n v="9"/>
    <n v="38"/>
    <n v="0.65"/>
    <n v="0.97014317238212067"/>
    <n v="36.865440550520589"/>
    <n v="24.7"/>
    <n v="12.165440550520589"/>
    <n v="0.61131877493956333"/>
    <n v="12.776759325460153"/>
    <n v="0"/>
    <n v="0"/>
    <n v="0"/>
    <n v="12.776759325460153"/>
  </r>
  <r>
    <x v="0"/>
    <d v="2019-02-05T00:00:00"/>
    <d v="2019-02-20T00:00:00"/>
    <x v="5"/>
    <n v="9"/>
    <n v="40"/>
    <n v="0.65"/>
    <n v="0.97014317238212067"/>
    <n v="38.805726895284828"/>
    <n v="26"/>
    <n v="12.805726895284828"/>
    <n v="0.6434934473048034"/>
    <n v="13.449220342589632"/>
    <n v="0"/>
    <n v="0"/>
    <n v="0"/>
    <n v="13.449220342589632"/>
  </r>
  <r>
    <x v="1"/>
    <d v="2019-03-05T00:00:00"/>
    <d v="2019-03-20T00:00:00"/>
    <x v="5"/>
    <n v="9"/>
    <n v="40"/>
    <n v="0.65"/>
    <n v="0.97014317238212067"/>
    <n v="38.805726895284828"/>
    <n v="26"/>
    <n v="12.805726895284828"/>
    <n v="0.6434934473048034"/>
    <n v="13.449220342589632"/>
    <n v="0"/>
    <n v="0"/>
    <n v="0"/>
    <n v="13.449220342589632"/>
  </r>
  <r>
    <x v="2"/>
    <d v="2019-04-03T00:00:00"/>
    <d v="2019-04-18T00:00:00"/>
    <x v="5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3"/>
    <d v="2019-05-03T00:00:00"/>
    <d v="2019-05-20T00:00:00"/>
    <x v="5"/>
    <n v="9"/>
    <n v="27"/>
    <n v="0.65"/>
    <n v="0.97014317238212067"/>
    <n v="26.193865654317257"/>
    <n v="17.55"/>
    <n v="8.6438656543172563"/>
    <n v="0.43435807693074235"/>
    <n v="9.0782237312479985"/>
    <n v="0"/>
    <n v="0"/>
    <n v="0"/>
    <n v="9.0782237312479985"/>
  </r>
  <r>
    <x v="4"/>
    <d v="2019-06-05T00:00:00"/>
    <d v="2019-06-20T00:00:00"/>
    <x v="5"/>
    <n v="9"/>
    <n v="33"/>
    <n v="0.65"/>
    <n v="0.97014317238212067"/>
    <n v="32.014724688609981"/>
    <n v="21.45"/>
    <n v="10.564724688609981"/>
    <n v="0.53088209402646291"/>
    <n v="11.095606782636445"/>
    <n v="0"/>
    <n v="0"/>
    <n v="0"/>
    <n v="11.095606782636445"/>
  </r>
  <r>
    <x v="5"/>
    <d v="2019-07-03T00:00:00"/>
    <d v="2019-07-18T00:00:00"/>
    <x v="5"/>
    <n v="9"/>
    <n v="39"/>
    <n v="0.65"/>
    <n v="0.97014317238212067"/>
    <n v="37.835583722902705"/>
    <n v="25.35"/>
    <n v="12.485583722902703"/>
    <n v="0.62740611112218336"/>
    <n v="13.112989834024887"/>
    <n v="0"/>
    <n v="0"/>
    <n v="0"/>
    <n v="13.112989834024887"/>
  </r>
  <r>
    <x v="6"/>
    <d v="2019-08-05T00:00:00"/>
    <d v="2019-08-20T00:00:00"/>
    <x v="5"/>
    <n v="9"/>
    <n v="39"/>
    <n v="0.65"/>
    <n v="0.97014317238212067"/>
    <n v="37.835583722902705"/>
    <n v="25.35"/>
    <n v="12.485583722902703"/>
    <n v="0.62740611112218336"/>
    <n v="13.112989834024887"/>
    <n v="0"/>
    <n v="0"/>
    <n v="0"/>
    <n v="13.112989834024887"/>
  </r>
  <r>
    <x v="7"/>
    <d v="2019-09-04T00:00:00"/>
    <d v="2019-09-19T00:00:00"/>
    <x v="5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8"/>
    <d v="2019-10-03T00:00:00"/>
    <d v="2019-10-18T00:00:00"/>
    <x v="5"/>
    <n v="9"/>
    <n v="40"/>
    <n v="0.65"/>
    <n v="0.97014317238212067"/>
    <n v="38.805726895284828"/>
    <n v="26"/>
    <n v="12.805726895284828"/>
    <n v="0.6434934473048034"/>
    <n v="13.449220342589632"/>
    <n v="0"/>
    <n v="0"/>
    <n v="0"/>
    <n v="13.449220342589632"/>
  </r>
  <r>
    <x v="9"/>
    <d v="2019-11-05T00:00:00"/>
    <d v="2019-11-20T00:00:00"/>
    <x v="5"/>
    <n v="9"/>
    <n v="30"/>
    <n v="0.65"/>
    <n v="0.97014317238212067"/>
    <n v="29.104295171463619"/>
    <n v="19.5"/>
    <n v="9.6042951714636189"/>
    <n v="0.48262008547860263"/>
    <n v="10.086915256942222"/>
    <n v="0"/>
    <n v="0"/>
    <n v="0"/>
    <n v="10.086915256942222"/>
  </r>
  <r>
    <x v="10"/>
    <d v="2019-12-04T00:00:00"/>
    <d v="2019-12-19T00:00:00"/>
    <x v="5"/>
    <n v="9"/>
    <n v="37"/>
    <n v="0.65"/>
    <n v="0.97014317238212067"/>
    <n v="35.895297378138466"/>
    <n v="24.05"/>
    <n v="11.845297378138465"/>
    <n v="0.59523143875694318"/>
    <n v="12.440528816895409"/>
    <n v="0"/>
    <n v="0"/>
    <n v="0"/>
    <n v="12.440528816895409"/>
  </r>
  <r>
    <x v="11"/>
    <d v="2020-01-03T00:00:00"/>
    <d v="2020-01-20T00:00:00"/>
    <x v="5"/>
    <n v="9"/>
    <n v="41"/>
    <n v="0.65"/>
    <n v="0.97014317238212067"/>
    <n v="39.775870067666951"/>
    <n v="26.650000000000002"/>
    <n v="13.125870067666948"/>
    <n v="0.65958078348742355"/>
    <n v="13.785450851154373"/>
    <n v="0"/>
    <n v="0"/>
    <n v="0"/>
    <n v="13.785450851154373"/>
  </r>
  <r>
    <x v="0"/>
    <d v="2019-02-05T00:00:00"/>
    <d v="2019-02-20T00:00:00"/>
    <x v="6"/>
    <n v="9"/>
    <n v="76"/>
    <n v="0.65"/>
    <n v="0.97014317238212067"/>
    <n v="73.730881101041177"/>
    <n v="49.4"/>
    <n v="24.330881101041179"/>
    <n v="1.2226375498791267"/>
    <n v="25.553518650920306"/>
    <n v="0"/>
    <n v="0"/>
    <n v="0"/>
    <n v="25.553518650920306"/>
  </r>
  <r>
    <x v="1"/>
    <d v="2019-03-05T00:00:00"/>
    <d v="2019-03-20T00:00:00"/>
    <x v="6"/>
    <n v="9"/>
    <n v="85"/>
    <n v="0.65"/>
    <n v="0.97014317238212067"/>
    <n v="82.462169652480256"/>
    <n v="55.25"/>
    <n v="27.212169652480256"/>
    <n v="1.3674235755227073"/>
    <n v="28.579593228002963"/>
    <n v="0"/>
    <n v="0"/>
    <n v="0"/>
    <n v="28.579593228002963"/>
  </r>
  <r>
    <x v="2"/>
    <d v="2019-04-03T00:00:00"/>
    <d v="2019-04-18T00:00:00"/>
    <x v="6"/>
    <n v="9"/>
    <n v="86"/>
    <n v="0.65"/>
    <n v="0.97014317238212067"/>
    <n v="83.432312824862379"/>
    <n v="55.9"/>
    <n v="27.53231282486238"/>
    <n v="1.3835109117053275"/>
    <n v="28.91582373656771"/>
    <n v="0"/>
    <n v="0"/>
    <n v="0"/>
    <n v="28.91582373656771"/>
  </r>
  <r>
    <x v="3"/>
    <d v="2019-05-03T00:00:00"/>
    <d v="2019-05-20T00:00:00"/>
    <x v="6"/>
    <n v="9"/>
    <n v="78"/>
    <n v="0.65"/>
    <n v="0.97014317238212067"/>
    <n v="75.671167445805409"/>
    <n v="50.7"/>
    <n v="24.971167445805406"/>
    <n v="1.2548122222443667"/>
    <n v="26.225979668049774"/>
    <n v="0"/>
    <n v="0"/>
    <n v="0"/>
    <n v="26.225979668049774"/>
  </r>
  <r>
    <x v="4"/>
    <d v="2019-06-05T00:00:00"/>
    <d v="2019-06-20T00:00:00"/>
    <x v="6"/>
    <n v="9"/>
    <n v="92"/>
    <n v="0.65"/>
    <n v="0.97014317238212067"/>
    <n v="89.253171859155103"/>
    <n v="59.800000000000004"/>
    <n v="29.453171859155098"/>
    <n v="1.4800349288010479"/>
    <n v="30.933206787956145"/>
    <n v="0"/>
    <n v="0"/>
    <n v="0"/>
    <n v="30.933206787956145"/>
  </r>
  <r>
    <x v="5"/>
    <d v="2019-07-03T00:00:00"/>
    <d v="2019-07-18T00:00:00"/>
    <x v="6"/>
    <n v="9"/>
    <n v="138"/>
    <n v="0.65"/>
    <n v="0.97014317238212067"/>
    <n v="133.87975778873266"/>
    <n v="89.7"/>
    <n v="44.179757788732658"/>
    <n v="2.2200523932015717"/>
    <n v="46.399810181934228"/>
    <n v="0"/>
    <n v="0"/>
    <n v="0"/>
    <n v="46.399810181934228"/>
  </r>
  <r>
    <x v="6"/>
    <d v="2019-08-05T00:00:00"/>
    <d v="2019-08-20T00:00:00"/>
    <x v="6"/>
    <n v="9"/>
    <n v="147"/>
    <n v="0.65"/>
    <n v="0.97014317238212067"/>
    <n v="142.61104634017173"/>
    <n v="95.55"/>
    <n v="47.061046340171728"/>
    <n v="2.3648384188451526"/>
    <n v="49.425884759016881"/>
    <n v="0"/>
    <n v="0"/>
    <n v="0"/>
    <n v="49.425884759016881"/>
  </r>
  <r>
    <x v="7"/>
    <d v="2019-09-04T00:00:00"/>
    <d v="2019-09-19T00:00:00"/>
    <x v="6"/>
    <n v="9"/>
    <n v="156"/>
    <n v="0.65"/>
    <n v="0.97014317238212067"/>
    <n v="151.34233489161082"/>
    <n v="101.4"/>
    <n v="49.942334891610813"/>
    <n v="2.5096244444887335"/>
    <n v="52.451959336099549"/>
    <n v="0"/>
    <n v="0"/>
    <n v="0"/>
    <n v="52.451959336099549"/>
  </r>
  <r>
    <x v="8"/>
    <d v="2019-10-03T00:00:00"/>
    <d v="2019-10-18T00:00:00"/>
    <x v="6"/>
    <n v="9"/>
    <n v="140"/>
    <n v="0.65"/>
    <n v="0.97014317238212067"/>
    <n v="135.82004413349691"/>
    <n v="91"/>
    <n v="44.820044133496907"/>
    <n v="2.252227065566812"/>
    <n v="47.072271199063721"/>
    <n v="0"/>
    <n v="0"/>
    <n v="0"/>
    <n v="47.072271199063721"/>
  </r>
  <r>
    <x v="9"/>
    <d v="2019-11-05T00:00:00"/>
    <d v="2019-11-20T00:00:00"/>
    <x v="6"/>
    <n v="9"/>
    <n v="125"/>
    <n v="0.65"/>
    <n v="0.97014317238212067"/>
    <n v="121.26789654776508"/>
    <n v="81.25"/>
    <n v="40.017896547765076"/>
    <n v="2.0109170228275111"/>
    <n v="42.02881357059259"/>
    <n v="0"/>
    <n v="0"/>
    <n v="0"/>
    <n v="42.02881357059259"/>
  </r>
  <r>
    <x v="10"/>
    <d v="2019-12-04T00:00:00"/>
    <d v="2019-12-19T00:00:00"/>
    <x v="6"/>
    <n v="9"/>
    <n v="79"/>
    <n v="0.65"/>
    <n v="0.97014317238212067"/>
    <n v="76.641310618187532"/>
    <n v="51.35"/>
    <n v="25.291310618187531"/>
    <n v="1.2708995584269867"/>
    <n v="26.562210176614517"/>
    <n v="0"/>
    <n v="0"/>
    <n v="0"/>
    <n v="26.562210176614517"/>
  </r>
  <r>
    <x v="11"/>
    <d v="2020-01-03T00:00:00"/>
    <d v="2020-01-20T00:00:00"/>
    <x v="6"/>
    <n v="9"/>
    <n v="81"/>
    <n v="0.65"/>
    <n v="0.97014317238212067"/>
    <n v="78.581596962951778"/>
    <n v="52.65"/>
    <n v="25.93159696295178"/>
    <n v="1.303074230792227"/>
    <n v="27.234671193744006"/>
    <n v="0"/>
    <n v="0"/>
    <n v="0"/>
    <n v="27.234671193744006"/>
  </r>
  <r>
    <x v="0"/>
    <d v="2019-02-05T00:00:00"/>
    <d v="2019-02-20T00:00:00"/>
    <x v="7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1"/>
    <d v="2019-03-05T00:00:00"/>
    <d v="2019-03-20T00:00:00"/>
    <x v="7"/>
    <n v="9"/>
    <n v="37"/>
    <n v="0.65"/>
    <n v="0.97014317238212067"/>
    <n v="35.895297378138466"/>
    <n v="24.05"/>
    <n v="11.845297378138465"/>
    <n v="0.59523143875694318"/>
    <n v="12.440528816895409"/>
    <n v="0"/>
    <n v="0"/>
    <n v="0"/>
    <n v="12.440528816895409"/>
  </r>
  <r>
    <x v="2"/>
    <d v="2019-04-03T00:00:00"/>
    <d v="2019-04-18T00:00:00"/>
    <x v="7"/>
    <n v="9"/>
    <n v="40"/>
    <n v="0.65"/>
    <n v="0.97014317238212067"/>
    <n v="38.805726895284828"/>
    <n v="26"/>
    <n v="12.805726895284828"/>
    <n v="0.6434934473048034"/>
    <n v="13.449220342589632"/>
    <n v="0"/>
    <n v="0"/>
    <n v="0"/>
    <n v="13.449220342589632"/>
  </r>
  <r>
    <x v="3"/>
    <d v="2019-05-03T00:00:00"/>
    <d v="2019-05-20T00:00:00"/>
    <x v="7"/>
    <n v="9"/>
    <n v="36"/>
    <n v="0.65"/>
    <n v="0.97014317238212067"/>
    <n v="34.925154205756343"/>
    <n v="23.400000000000002"/>
    <n v="11.525154205756341"/>
    <n v="0.57914410257432314"/>
    <n v="12.104298308330664"/>
    <n v="0"/>
    <n v="0"/>
    <n v="0"/>
    <n v="12.104298308330664"/>
  </r>
  <r>
    <x v="4"/>
    <d v="2019-06-05T00:00:00"/>
    <d v="2019-06-20T00:00:00"/>
    <x v="7"/>
    <n v="9"/>
    <n v="41"/>
    <n v="0.65"/>
    <n v="0.97014317238212067"/>
    <n v="39.775870067666951"/>
    <n v="26.650000000000002"/>
    <n v="13.125870067666948"/>
    <n v="0.65958078348742355"/>
    <n v="13.785450851154373"/>
    <n v="0"/>
    <n v="0"/>
    <n v="0"/>
    <n v="13.785450851154373"/>
  </r>
  <r>
    <x v="5"/>
    <d v="2019-07-03T00:00:00"/>
    <d v="2019-07-18T00:00:00"/>
    <x v="7"/>
    <n v="9"/>
    <n v="40"/>
    <n v="0.65"/>
    <n v="0.97014317238212067"/>
    <n v="38.805726895284828"/>
    <n v="26"/>
    <n v="12.805726895284828"/>
    <n v="0.6434934473048034"/>
    <n v="13.449220342589632"/>
    <n v="0"/>
    <n v="0"/>
    <n v="0"/>
    <n v="13.449220342589632"/>
  </r>
  <r>
    <x v="6"/>
    <d v="2019-08-05T00:00:00"/>
    <d v="2019-08-20T00:00:00"/>
    <x v="7"/>
    <n v="9"/>
    <n v="46"/>
    <n v="0.65"/>
    <n v="0.97014317238212067"/>
    <n v="44.626585929577551"/>
    <n v="29.900000000000002"/>
    <n v="14.726585929577549"/>
    <n v="0.74001746440052396"/>
    <n v="15.466603393978072"/>
    <n v="0"/>
    <n v="0"/>
    <n v="0"/>
    <n v="15.466603393978072"/>
  </r>
  <r>
    <x v="7"/>
    <d v="2019-09-04T00:00:00"/>
    <d v="2019-09-19T00:00:00"/>
    <x v="7"/>
    <n v="9"/>
    <n v="47"/>
    <n v="0.65"/>
    <n v="0.97014317238212067"/>
    <n v="45.596729101959674"/>
    <n v="30.55"/>
    <n v="15.046729101959674"/>
    <n v="0.756104800583144"/>
    <n v="15.802833902542817"/>
    <n v="0"/>
    <n v="0"/>
    <n v="0"/>
    <n v="15.802833902542817"/>
  </r>
  <r>
    <x v="8"/>
    <d v="2019-10-03T00:00:00"/>
    <d v="2019-10-18T00:00:00"/>
    <x v="7"/>
    <n v="9"/>
    <n v="45"/>
    <n v="0.65"/>
    <n v="0.97014317238212067"/>
    <n v="43.656442757195428"/>
    <n v="29.25"/>
    <n v="14.406442757195428"/>
    <n v="0.72393012821790381"/>
    <n v="15.130372885413331"/>
    <n v="0"/>
    <n v="0"/>
    <n v="0"/>
    <n v="15.130372885413331"/>
  </r>
  <r>
    <x v="9"/>
    <d v="2019-11-05T00:00:00"/>
    <d v="2019-11-20T00:00:00"/>
    <x v="7"/>
    <n v="9"/>
    <n v="42"/>
    <n v="0.65"/>
    <n v="0.97014317238212067"/>
    <n v="40.746013240049066"/>
    <n v="27.3"/>
    <n v="13.446013240049066"/>
    <n v="0.67566811967004359"/>
    <n v="14.121681359719108"/>
    <n v="0"/>
    <n v="0"/>
    <n v="0"/>
    <n v="14.121681359719108"/>
  </r>
  <r>
    <x v="10"/>
    <d v="2019-12-04T00:00:00"/>
    <d v="2019-12-19T00:00:00"/>
    <x v="7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11"/>
    <d v="2020-01-03T00:00:00"/>
    <d v="2020-01-20T00:00:00"/>
    <x v="7"/>
    <n v="9"/>
    <n v="38"/>
    <n v="0.65"/>
    <n v="0.97014317238212067"/>
    <n v="36.865440550520589"/>
    <n v="24.7"/>
    <n v="12.165440550520589"/>
    <n v="0.61131877493956333"/>
    <n v="12.776759325460153"/>
    <n v="0"/>
    <n v="0"/>
    <n v="0"/>
    <n v="12.776759325460153"/>
  </r>
  <r>
    <x v="0"/>
    <d v="2019-02-05T00:00:00"/>
    <d v="2019-02-20T00:00:00"/>
    <x v="8"/>
    <n v="9"/>
    <n v="988"/>
    <n v="0.65"/>
    <n v="0.97014317238212067"/>
    <n v="958.50145431353519"/>
    <n v="642.20000000000005"/>
    <n v="316.30145431353515"/>
    <n v="15.894288148428645"/>
    <n v="332.19574246196379"/>
    <n v="0"/>
    <n v="0"/>
    <n v="0"/>
    <n v="332.19574246196379"/>
  </r>
  <r>
    <x v="1"/>
    <d v="2019-03-05T00:00:00"/>
    <d v="2019-03-20T00:00:00"/>
    <x v="8"/>
    <n v="9"/>
    <n v="951"/>
    <n v="0.65"/>
    <n v="0.97014317238212067"/>
    <n v="922.60615693539671"/>
    <n v="618.15"/>
    <n v="304.45615693539673"/>
    <n v="15.299056709671703"/>
    <n v="319.75521364506847"/>
    <n v="0"/>
    <n v="0"/>
    <n v="0"/>
    <n v="319.75521364506847"/>
  </r>
  <r>
    <x v="2"/>
    <d v="2019-04-03T00:00:00"/>
    <d v="2019-04-18T00:00:00"/>
    <x v="8"/>
    <n v="9"/>
    <n v="1055"/>
    <n v="0.65"/>
    <n v="0.97014317238212067"/>
    <n v="1023.5010468631373"/>
    <n v="685.75"/>
    <n v="337.75104686313728"/>
    <n v="16.972139672664191"/>
    <n v="354.72318653580146"/>
    <n v="0"/>
    <n v="0"/>
    <n v="0"/>
    <n v="354.72318653580146"/>
  </r>
  <r>
    <x v="3"/>
    <d v="2019-05-03T00:00:00"/>
    <d v="2019-05-20T00:00:00"/>
    <x v="8"/>
    <n v="9"/>
    <n v="514"/>
    <n v="0.65"/>
    <n v="0.97014317238212067"/>
    <n v="498.65359060441"/>
    <n v="334.1"/>
    <n v="164.55359060440998"/>
    <n v="8.2688907978667245"/>
    <n v="172.82248140227671"/>
    <n v="0"/>
    <n v="0"/>
    <n v="0"/>
    <n v="172.82248140227671"/>
  </r>
  <r>
    <x v="4"/>
    <d v="2019-06-05T00:00:00"/>
    <d v="2019-06-20T00:00:00"/>
    <x v="8"/>
    <n v="9"/>
    <n v="701"/>
    <n v="0.65"/>
    <n v="0.97014317238212067"/>
    <n v="680.07036383986656"/>
    <n v="455.65000000000003"/>
    <n v="224.42036383986652"/>
    <n v="11.27722266401668"/>
    <n v="235.6975865038832"/>
    <n v="0"/>
    <n v="0"/>
    <n v="0"/>
    <n v="235.6975865038832"/>
  </r>
  <r>
    <x v="5"/>
    <d v="2019-07-03T00:00:00"/>
    <d v="2019-07-18T00:00:00"/>
    <x v="8"/>
    <n v="9"/>
    <n v="822"/>
    <n v="0.65"/>
    <n v="0.97014317238212067"/>
    <n v="797.4576876981032"/>
    <n v="534.30000000000007"/>
    <n v="263.15768769810313"/>
    <n v="13.223790342113709"/>
    <n v="276.38147804021685"/>
    <n v="0"/>
    <n v="0"/>
    <n v="0"/>
    <n v="276.38147804021685"/>
  </r>
  <r>
    <x v="6"/>
    <d v="2019-08-05T00:00:00"/>
    <d v="2019-08-20T00:00:00"/>
    <x v="8"/>
    <n v="9"/>
    <n v="868"/>
    <n v="0.65"/>
    <n v="0.97014317238212067"/>
    <n v="842.08427362768077"/>
    <n v="564.20000000000005"/>
    <n v="277.88427362768073"/>
    <n v="13.963807806514236"/>
    <n v="291.84808143419497"/>
    <n v="0"/>
    <n v="0"/>
    <n v="0"/>
    <n v="291.84808143419497"/>
  </r>
  <r>
    <x v="7"/>
    <d v="2019-09-04T00:00:00"/>
    <d v="2019-09-19T00:00:00"/>
    <x v="8"/>
    <n v="9"/>
    <n v="933"/>
    <n v="0.65"/>
    <n v="0.97014317238212067"/>
    <n v="905.14357983251853"/>
    <n v="606.45000000000005"/>
    <n v="298.69357983251848"/>
    <n v="15.00948465838454"/>
    <n v="313.70306449090305"/>
    <n v="0"/>
    <n v="0"/>
    <n v="0"/>
    <n v="313.70306449090305"/>
  </r>
  <r>
    <x v="8"/>
    <d v="2019-10-03T00:00:00"/>
    <d v="2019-10-18T00:00:00"/>
    <x v="8"/>
    <n v="9"/>
    <n v="890"/>
    <n v="0.65"/>
    <n v="0.97014317238212067"/>
    <n v="863.42742342008739"/>
    <n v="578.5"/>
    <n v="284.92742342008739"/>
    <n v="14.317729202531876"/>
    <n v="299.24515262261929"/>
    <n v="0"/>
    <n v="0"/>
    <n v="0"/>
    <n v="299.24515262261929"/>
  </r>
  <r>
    <x v="9"/>
    <d v="2019-11-05T00:00:00"/>
    <d v="2019-11-20T00:00:00"/>
    <x v="8"/>
    <n v="9"/>
    <n v="798"/>
    <n v="0.65"/>
    <n v="0.97014317238212067"/>
    <n v="774.17425156093225"/>
    <n v="518.70000000000005"/>
    <n v="255.4742515609322"/>
    <n v="12.837694273730829"/>
    <n v="268.31194583466305"/>
    <n v="0"/>
    <n v="0"/>
    <n v="0"/>
    <n v="268.31194583466305"/>
  </r>
  <r>
    <x v="10"/>
    <d v="2019-12-04T00:00:00"/>
    <d v="2019-12-19T00:00:00"/>
    <x v="8"/>
    <n v="9"/>
    <n v="1050"/>
    <n v="0.65"/>
    <n v="0.97014317238212067"/>
    <n v="1018.6503310012267"/>
    <n v="682.5"/>
    <n v="336.15033100122673"/>
    <n v="16.891702991751089"/>
    <n v="353.04203399297785"/>
    <n v="0"/>
    <n v="0"/>
    <n v="0"/>
    <n v="353.04203399297785"/>
  </r>
  <r>
    <x v="11"/>
    <d v="2020-01-03T00:00:00"/>
    <d v="2020-01-20T00:00:00"/>
    <x v="8"/>
    <n v="9"/>
    <n v="996"/>
    <n v="0.65"/>
    <n v="0.97014317238212067"/>
    <n v="966.26259969259218"/>
    <n v="647.4"/>
    <n v="318.8625996925922"/>
    <n v="16.022986837889608"/>
    <n v="334.88558653048182"/>
    <n v="0"/>
    <n v="0"/>
    <n v="0"/>
    <n v="334.88558653048182"/>
  </r>
  <r>
    <x v="0"/>
    <d v="2019-02-05T00:00:00"/>
    <d v="2019-02-20T00:00:00"/>
    <x v="9"/>
    <n v="9"/>
    <n v="7"/>
    <n v="0.65"/>
    <n v="0.97014317238212067"/>
    <n v="6.791002206674845"/>
    <n v="4.55"/>
    <n v="2.2410022066748452"/>
    <n v="0.11261135327834061"/>
    <n v="2.3536135599531858"/>
    <n v="0"/>
    <n v="0"/>
    <n v="0"/>
    <n v="2.3536135599531858"/>
  </r>
  <r>
    <x v="1"/>
    <d v="2019-03-05T00:00:00"/>
    <d v="2019-03-20T00:00:00"/>
    <x v="9"/>
    <n v="9"/>
    <n v="8"/>
    <n v="0.65"/>
    <n v="0.97014317238212067"/>
    <n v="7.7611453790569653"/>
    <n v="5.2"/>
    <n v="2.5611453790569652"/>
    <n v="0.12869868946096069"/>
    <n v="2.6898440685179259"/>
    <n v="0"/>
    <n v="0"/>
    <n v="0"/>
    <n v="2.6898440685179259"/>
  </r>
  <r>
    <x v="2"/>
    <d v="2019-04-03T00:00:00"/>
    <d v="2019-04-18T00:00:00"/>
    <x v="9"/>
    <n v="9"/>
    <n v="6"/>
    <n v="0.65"/>
    <n v="0.97014317238212067"/>
    <n v="5.8208590342927238"/>
    <n v="3.9000000000000004"/>
    <n v="1.9208590342927234"/>
    <n v="9.6524017095720518E-2"/>
    <n v="2.0173830513884439"/>
    <n v="0"/>
    <n v="0"/>
    <n v="0"/>
    <n v="2.0173830513884439"/>
  </r>
  <r>
    <x v="3"/>
    <d v="2019-05-03T00:00:00"/>
    <d v="2019-05-20T00:00:00"/>
    <x v="9"/>
    <n v="9"/>
    <n v="5"/>
    <n v="0.65"/>
    <n v="0.97014317238212067"/>
    <n v="4.8507158619106034"/>
    <n v="3.25"/>
    <n v="1.6007158619106034"/>
    <n v="8.0436680913100425E-2"/>
    <n v="1.681152542823704"/>
    <n v="0"/>
    <n v="0"/>
    <n v="0"/>
    <n v="1.681152542823704"/>
  </r>
  <r>
    <x v="4"/>
    <d v="2019-06-05T00:00:00"/>
    <d v="2019-06-20T00:00:00"/>
    <x v="9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5"/>
    <d v="2019-07-03T00:00:00"/>
    <d v="2019-07-18T00:00:00"/>
    <x v="9"/>
    <n v="9"/>
    <n v="7"/>
    <n v="0.65"/>
    <n v="0.97014317238212067"/>
    <n v="6.791002206674845"/>
    <n v="4.55"/>
    <n v="2.2410022066748452"/>
    <n v="0.11261135327834061"/>
    <n v="2.3536135599531858"/>
    <n v="0"/>
    <n v="0"/>
    <n v="0"/>
    <n v="2.3536135599531858"/>
  </r>
  <r>
    <x v="6"/>
    <d v="2019-08-05T00:00:00"/>
    <d v="2019-08-20T00:00:00"/>
    <x v="9"/>
    <n v="9"/>
    <n v="17"/>
    <n v="0.65"/>
    <n v="0.97014317238212067"/>
    <n v="16.492433930496052"/>
    <n v="11.05"/>
    <n v="5.4424339304960512"/>
    <n v="0.27348471510454148"/>
    <n v="5.7159186456005928"/>
    <n v="0"/>
    <n v="0"/>
    <n v="0"/>
    <n v="5.7159186456005928"/>
  </r>
  <r>
    <x v="7"/>
    <d v="2019-09-04T00:00:00"/>
    <d v="2019-09-19T00:00:00"/>
    <x v="9"/>
    <n v="9"/>
    <n v="17"/>
    <n v="0.65"/>
    <n v="0.97014317238212067"/>
    <n v="16.492433930496052"/>
    <n v="11.05"/>
    <n v="5.4424339304960512"/>
    <n v="0.27348471510454148"/>
    <n v="5.7159186456005928"/>
    <n v="0"/>
    <n v="0"/>
    <n v="0"/>
    <n v="5.7159186456005928"/>
  </r>
  <r>
    <x v="8"/>
    <d v="2019-10-03T00:00:00"/>
    <d v="2019-10-18T00:00:00"/>
    <x v="9"/>
    <n v="9"/>
    <n v="13"/>
    <n v="0.65"/>
    <n v="0.97014317238212067"/>
    <n v="12.611861240967569"/>
    <n v="8.4500000000000011"/>
    <n v="4.1618612409675677"/>
    <n v="0.20913537037406113"/>
    <n v="4.3709966113416288"/>
    <n v="0"/>
    <n v="0"/>
    <n v="0"/>
    <n v="4.3709966113416288"/>
  </r>
  <r>
    <x v="9"/>
    <d v="2019-11-05T00:00:00"/>
    <d v="2019-11-20T00:00:00"/>
    <x v="9"/>
    <n v="9"/>
    <n v="5"/>
    <n v="0.65"/>
    <n v="0.97014317238212067"/>
    <n v="4.8507158619106034"/>
    <n v="3.25"/>
    <n v="1.6007158619106034"/>
    <n v="8.0436680913100425E-2"/>
    <n v="1.681152542823704"/>
    <n v="0"/>
    <n v="0"/>
    <n v="0"/>
    <n v="1.681152542823704"/>
  </r>
  <r>
    <x v="10"/>
    <d v="2019-12-04T00:00:00"/>
    <d v="2019-12-19T00:00:00"/>
    <x v="9"/>
    <n v="9"/>
    <n v="7"/>
    <n v="0.65"/>
    <n v="0.97014317238212067"/>
    <n v="6.791002206674845"/>
    <n v="4.55"/>
    <n v="2.2410022066748452"/>
    <n v="0.11261135327834061"/>
    <n v="2.3536135599531858"/>
    <n v="0"/>
    <n v="0"/>
    <n v="0"/>
    <n v="2.3536135599531858"/>
  </r>
  <r>
    <x v="11"/>
    <d v="2020-01-03T00:00:00"/>
    <d v="2020-01-20T00:00:00"/>
    <x v="9"/>
    <n v="9"/>
    <n v="7"/>
    <n v="0.65"/>
    <n v="0.97014317238212067"/>
    <n v="6.791002206674845"/>
    <n v="4.55"/>
    <n v="2.2410022066748452"/>
    <n v="0.11261135327834061"/>
    <n v="2.3536135599531858"/>
    <n v="0"/>
    <n v="0"/>
    <n v="0"/>
    <n v="2.3536135599531858"/>
  </r>
  <r>
    <x v="0"/>
    <d v="2019-02-05T00:00:00"/>
    <d v="2019-02-20T00:00:00"/>
    <x v="10"/>
    <n v="9"/>
    <n v="1"/>
    <n v="0.65"/>
    <n v="0.97014317238212067"/>
    <n v="0.97014317238212067"/>
    <n v="0.65"/>
    <n v="0.32014317238212064"/>
    <n v="1.6087336182620086E-2"/>
    <n v="0.33623050856474074"/>
    <n v="0"/>
    <n v="0"/>
    <n v="0"/>
    <n v="0.33623050856474074"/>
  </r>
  <r>
    <x v="1"/>
    <d v="2019-03-05T00:00:00"/>
    <d v="2019-03-20T00:00:00"/>
    <x v="10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2"/>
    <d v="2019-04-03T00:00:00"/>
    <d v="2019-04-18T00:00:00"/>
    <x v="10"/>
    <n v="9"/>
    <n v="1"/>
    <n v="0.65"/>
    <n v="0.97014317238212067"/>
    <n v="0.97014317238212067"/>
    <n v="0.65"/>
    <n v="0.32014317238212064"/>
    <n v="1.6087336182620086E-2"/>
    <n v="0.33623050856474074"/>
    <n v="0"/>
    <n v="0"/>
    <n v="0"/>
    <n v="0.33623050856474074"/>
  </r>
  <r>
    <x v="3"/>
    <d v="2019-05-03T00:00:00"/>
    <d v="2019-05-20T00:00:00"/>
    <x v="10"/>
    <n v="9"/>
    <n v="3"/>
    <n v="0.65"/>
    <n v="0.97014317238212067"/>
    <n v="2.9104295171463619"/>
    <n v="1.9500000000000002"/>
    <n v="0.96042951714636171"/>
    <n v="4.8262008547860259E-2"/>
    <n v="1.0086915256942219"/>
    <n v="0"/>
    <n v="0"/>
    <n v="0"/>
    <n v="1.0086915256942219"/>
  </r>
  <r>
    <x v="4"/>
    <d v="2019-06-05T00:00:00"/>
    <d v="2019-06-20T00:00:00"/>
    <x v="10"/>
    <n v="9"/>
    <n v="3"/>
    <n v="0.65"/>
    <n v="0.97014317238212067"/>
    <n v="2.9104295171463619"/>
    <n v="1.9500000000000002"/>
    <n v="0.96042951714636171"/>
    <n v="4.8262008547860259E-2"/>
    <n v="1.0086915256942219"/>
    <n v="0"/>
    <n v="0"/>
    <n v="0"/>
    <n v="1.0086915256942219"/>
  </r>
  <r>
    <x v="5"/>
    <d v="2019-07-03T00:00:00"/>
    <d v="2019-07-18T00:00:00"/>
    <x v="10"/>
    <n v="9"/>
    <n v="2"/>
    <n v="0.65"/>
    <n v="0.97014317238212067"/>
    <n v="1.9402863447642413"/>
    <n v="1.3"/>
    <n v="0.64028634476424129"/>
    <n v="3.2174672365240173E-2"/>
    <n v="0.67246101712948148"/>
    <n v="0"/>
    <n v="0"/>
    <n v="0"/>
    <n v="0.67246101712948148"/>
  </r>
  <r>
    <x v="6"/>
    <d v="2019-08-05T00:00:00"/>
    <d v="2019-08-20T00:00:00"/>
    <x v="10"/>
    <n v="9"/>
    <n v="6"/>
    <n v="0.65"/>
    <n v="0.97014317238212067"/>
    <n v="5.8208590342927238"/>
    <n v="3.9000000000000004"/>
    <n v="1.9208590342927234"/>
    <n v="9.6524017095720518E-2"/>
    <n v="2.0173830513884439"/>
    <n v="0"/>
    <n v="0"/>
    <n v="0"/>
    <n v="2.0173830513884439"/>
  </r>
  <r>
    <x v="7"/>
    <d v="2019-09-04T00:00:00"/>
    <d v="2019-09-19T00:00:00"/>
    <x v="10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8"/>
    <d v="2019-10-03T00:00:00"/>
    <d v="2019-10-18T00:00:00"/>
    <x v="10"/>
    <n v="9"/>
    <n v="3"/>
    <n v="0.65"/>
    <n v="0.97014317238212067"/>
    <n v="2.9104295171463619"/>
    <n v="1.9500000000000002"/>
    <n v="0.96042951714636171"/>
    <n v="4.8262008547860259E-2"/>
    <n v="1.0086915256942219"/>
    <n v="0"/>
    <n v="0"/>
    <n v="0"/>
    <n v="1.0086915256942219"/>
  </r>
  <r>
    <x v="9"/>
    <d v="2019-11-05T00:00:00"/>
    <d v="2019-11-20T00:00:00"/>
    <x v="10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10"/>
    <d v="2019-12-04T00:00:00"/>
    <d v="2019-12-19T00:00:00"/>
    <x v="10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11"/>
    <d v="2020-01-03T00:00:00"/>
    <d v="2020-01-20T00:00:00"/>
    <x v="10"/>
    <n v="9"/>
    <n v="4"/>
    <n v="0.65"/>
    <n v="0.97014317238212067"/>
    <n v="3.8805726895284827"/>
    <n v="2.6"/>
    <n v="1.2805726895284826"/>
    <n v="6.4349344730480346E-2"/>
    <n v="1.344922034258963"/>
    <n v="0"/>
    <n v="0"/>
    <n v="0"/>
    <n v="1.344922034258963"/>
  </r>
  <r>
    <x v="0"/>
    <d v="2019-02-05T00:00:00"/>
    <d v="2019-02-20T00:00:00"/>
    <x v="11"/>
    <n v="9"/>
    <n v="108"/>
    <n v="0.65"/>
    <n v="0.97014317238212067"/>
    <n v="104.77546261726903"/>
    <n v="70.2"/>
    <n v="34.575462617269025"/>
    <n v="1.7374323077229694"/>
    <n v="36.312894924991994"/>
    <n v="0"/>
    <n v="0"/>
    <n v="0"/>
    <n v="36.312894924991994"/>
  </r>
  <r>
    <x v="1"/>
    <d v="2019-03-05T00:00:00"/>
    <d v="2019-03-20T00:00:00"/>
    <x v="11"/>
    <n v="9"/>
    <n v="116"/>
    <n v="0.65"/>
    <n v="0.97014317238212067"/>
    <n v="112.536607996326"/>
    <n v="75.400000000000006"/>
    <n v="37.136607996325992"/>
    <n v="1.8661309971839302"/>
    <n v="39.002738993509922"/>
    <n v="0"/>
    <n v="0"/>
    <n v="0"/>
    <n v="39.002738993509922"/>
  </r>
  <r>
    <x v="2"/>
    <d v="2019-04-03T00:00:00"/>
    <d v="2019-04-18T00:00:00"/>
    <x v="11"/>
    <n v="9"/>
    <n v="115"/>
    <n v="0.65"/>
    <n v="0.97014317238212067"/>
    <n v="111.56646482394387"/>
    <n v="74.75"/>
    <n v="36.816464823943875"/>
    <n v="1.85004366100131"/>
    <n v="38.666508484945183"/>
    <n v="0"/>
    <n v="0"/>
    <n v="0"/>
    <n v="38.666508484945183"/>
  </r>
  <r>
    <x v="3"/>
    <d v="2019-05-03T00:00:00"/>
    <d v="2019-05-20T00:00:00"/>
    <x v="11"/>
    <n v="9"/>
    <n v="96"/>
    <n v="0.65"/>
    <n v="0.97014317238212067"/>
    <n v="93.13374454868358"/>
    <n v="62.400000000000006"/>
    <n v="30.733744548683575"/>
    <n v="1.5443842735315283"/>
    <n v="32.278128822215102"/>
    <n v="0"/>
    <n v="0"/>
    <n v="0"/>
    <n v="32.278128822215102"/>
  </r>
  <r>
    <x v="4"/>
    <d v="2019-06-05T00:00:00"/>
    <d v="2019-06-20T00:00:00"/>
    <x v="11"/>
    <n v="9"/>
    <n v="127"/>
    <n v="0.65"/>
    <n v="0.97014317238212067"/>
    <n v="123.20818289252932"/>
    <n v="82.55"/>
    <n v="40.658182892529325"/>
    <n v="2.0430916951927509"/>
    <n v="42.701274587722075"/>
    <n v="0"/>
    <n v="0"/>
    <n v="0"/>
    <n v="42.701274587722075"/>
  </r>
  <r>
    <x v="5"/>
    <d v="2019-07-03T00:00:00"/>
    <d v="2019-07-18T00:00:00"/>
    <x v="11"/>
    <n v="9"/>
    <n v="143"/>
    <n v="0.65"/>
    <n v="0.97014317238212067"/>
    <n v="138.73047365064326"/>
    <n v="92.95"/>
    <n v="45.780473650643259"/>
    <n v="2.3004890741146724"/>
    <n v="48.080962724757931"/>
    <n v="0"/>
    <n v="0"/>
    <n v="0"/>
    <n v="48.080962724757931"/>
  </r>
  <r>
    <x v="6"/>
    <d v="2019-08-05T00:00:00"/>
    <d v="2019-08-20T00:00:00"/>
    <x v="11"/>
    <n v="9"/>
    <n v="153"/>
    <n v="0.65"/>
    <n v="0.97014317238212067"/>
    <n v="148.43190537446446"/>
    <n v="99.45"/>
    <n v="48.981905374464461"/>
    <n v="2.4613624359408734"/>
    <n v="51.443267810405331"/>
    <n v="0"/>
    <n v="0"/>
    <n v="0"/>
    <n v="51.443267810405331"/>
  </r>
  <r>
    <x v="7"/>
    <d v="2019-09-04T00:00:00"/>
    <d v="2019-09-19T00:00:00"/>
    <x v="11"/>
    <n v="9"/>
    <n v="162"/>
    <n v="0.65"/>
    <n v="0.97014317238212067"/>
    <n v="157.16319392590356"/>
    <n v="105.3"/>
    <n v="51.863193925903559"/>
    <n v="2.6061484615844539"/>
    <n v="54.469342387488012"/>
    <n v="0"/>
    <n v="0"/>
    <n v="0"/>
    <n v="54.469342387488012"/>
  </r>
  <r>
    <x v="8"/>
    <d v="2019-10-03T00:00:00"/>
    <d v="2019-10-18T00:00:00"/>
    <x v="11"/>
    <n v="9"/>
    <n v="145"/>
    <n v="0.65"/>
    <n v="0.97014317238212067"/>
    <n v="140.67075999540751"/>
    <n v="94.25"/>
    <n v="46.420759995407508"/>
    <n v="2.3326637464799127"/>
    <n v="48.753423741887417"/>
    <n v="0"/>
    <n v="0"/>
    <n v="0"/>
    <n v="48.753423741887417"/>
  </r>
  <r>
    <x v="9"/>
    <d v="2019-11-05T00:00:00"/>
    <d v="2019-11-20T00:00:00"/>
    <x v="11"/>
    <n v="9"/>
    <n v="134"/>
    <n v="0.65"/>
    <n v="0.97014317238212067"/>
    <n v="129.99918509920417"/>
    <n v="87.100000000000009"/>
    <n v="42.899185099204161"/>
    <n v="2.1557030484710915"/>
    <n v="45.05488814767525"/>
    <n v="0"/>
    <n v="0"/>
    <n v="0"/>
    <n v="45.05488814767525"/>
  </r>
  <r>
    <x v="10"/>
    <d v="2019-12-04T00:00:00"/>
    <d v="2019-12-19T00:00:00"/>
    <x v="11"/>
    <n v="9"/>
    <n v="105"/>
    <n v="0.65"/>
    <n v="0.97014317238212067"/>
    <n v="101.86503310012267"/>
    <n v="68.25"/>
    <n v="33.615033100122673"/>
    <n v="1.689170299175109"/>
    <n v="35.304203399297784"/>
    <n v="0"/>
    <n v="0"/>
    <n v="0"/>
    <n v="35.304203399297784"/>
  </r>
  <r>
    <x v="11"/>
    <d v="2020-01-03T00:00:00"/>
    <d v="2020-01-20T00:00:00"/>
    <x v="11"/>
    <n v="9"/>
    <n v="106"/>
    <n v="0.65"/>
    <n v="0.97014317238212067"/>
    <n v="102.8351762725048"/>
    <n v="68.900000000000006"/>
    <n v="33.935176272504791"/>
    <n v="1.7052576353577291"/>
    <n v="35.640433907862523"/>
    <n v="0"/>
    <n v="0"/>
    <n v="0"/>
    <n v="35.640433907862523"/>
  </r>
  <r>
    <x v="0"/>
    <d v="2019-02-05T00:00:00"/>
    <d v="2019-02-20T00:00:00"/>
    <x v="12"/>
    <n v="9"/>
    <n v="11"/>
    <n v="0.65"/>
    <n v="0.97014317238212067"/>
    <n v="10.671574896203328"/>
    <n v="7.15"/>
    <n v="3.5215748962033278"/>
    <n v="0.17696069800882094"/>
    <n v="3.6985355942121485"/>
    <n v="0"/>
    <n v="0"/>
    <n v="0"/>
    <n v="3.6985355942121485"/>
  </r>
  <r>
    <x v="1"/>
    <d v="2019-03-05T00:00:00"/>
    <d v="2019-03-20T00:00:00"/>
    <x v="12"/>
    <n v="9"/>
    <n v="9"/>
    <n v="0.65"/>
    <n v="0.97014317238212067"/>
    <n v="8.7312885514390857"/>
    <n v="5.8500000000000005"/>
    <n v="2.8812885514390851"/>
    <n v="0.14478602564358078"/>
    <n v="3.026074577082666"/>
    <n v="0"/>
    <n v="0"/>
    <n v="0"/>
    <n v="3.026074577082666"/>
  </r>
  <r>
    <x v="2"/>
    <d v="2019-04-03T00:00:00"/>
    <d v="2019-04-18T00:00:00"/>
    <x v="12"/>
    <n v="9"/>
    <n v="12"/>
    <n v="0.65"/>
    <n v="0.97014317238212067"/>
    <n v="11.641718068585448"/>
    <n v="7.8000000000000007"/>
    <n v="3.8417180685854468"/>
    <n v="0.19304803419144104"/>
    <n v="4.0347661027768877"/>
    <n v="0"/>
    <n v="0"/>
    <n v="0"/>
    <n v="4.0347661027768877"/>
  </r>
  <r>
    <x v="3"/>
    <d v="2019-05-03T00:00:00"/>
    <d v="2019-05-20T00:00:00"/>
    <x v="12"/>
    <n v="9"/>
    <n v="10"/>
    <n v="0.65"/>
    <n v="0.97014317238212067"/>
    <n v="9.7014317238212069"/>
    <n v="6.5"/>
    <n v="3.2014317238212069"/>
    <n v="0.16087336182620085"/>
    <n v="3.3623050856474079"/>
    <n v="0"/>
    <n v="0"/>
    <n v="0"/>
    <n v="3.3623050856474079"/>
  </r>
  <r>
    <x v="4"/>
    <d v="2019-06-05T00:00:00"/>
    <d v="2019-06-20T00:00:00"/>
    <x v="12"/>
    <n v="9"/>
    <n v="13"/>
    <n v="0.65"/>
    <n v="0.97014317238212067"/>
    <n v="12.611861240967569"/>
    <n v="8.4500000000000011"/>
    <n v="4.1618612409675677"/>
    <n v="0.20913537037406113"/>
    <n v="4.3709966113416288"/>
    <n v="0"/>
    <n v="0"/>
    <n v="0"/>
    <n v="4.3709966113416288"/>
  </r>
  <r>
    <x v="5"/>
    <d v="2019-07-03T00:00:00"/>
    <d v="2019-07-18T00:00:00"/>
    <x v="12"/>
    <n v="9"/>
    <n v="12"/>
    <n v="0.65"/>
    <n v="0.97014317238212067"/>
    <n v="11.641718068585448"/>
    <n v="7.8000000000000007"/>
    <n v="3.8417180685854468"/>
    <n v="0.19304803419144104"/>
    <n v="4.0347661027768877"/>
    <n v="0"/>
    <n v="0"/>
    <n v="0"/>
    <n v="4.0347661027768877"/>
  </r>
  <r>
    <x v="6"/>
    <d v="2019-08-05T00:00:00"/>
    <d v="2019-08-20T00:00:00"/>
    <x v="12"/>
    <n v="9"/>
    <n v="14"/>
    <n v="0.65"/>
    <n v="0.97014317238212067"/>
    <n v="13.58200441334969"/>
    <n v="9.1"/>
    <n v="4.4820044133496904"/>
    <n v="0.22522270655668122"/>
    <n v="4.7072271199063715"/>
    <n v="0"/>
    <n v="0"/>
    <n v="0"/>
    <n v="4.7072271199063715"/>
  </r>
  <r>
    <x v="7"/>
    <d v="2019-09-04T00:00:00"/>
    <d v="2019-09-19T00:00:00"/>
    <x v="12"/>
    <n v="9"/>
    <n v="16"/>
    <n v="0.65"/>
    <n v="0.97014317238212067"/>
    <n v="15.522290758113931"/>
    <n v="10.4"/>
    <n v="5.1222907581139303"/>
    <n v="0.25739737892192138"/>
    <n v="5.3796881370358518"/>
    <n v="0"/>
    <n v="0"/>
    <n v="0"/>
    <n v="5.3796881370358518"/>
  </r>
  <r>
    <x v="8"/>
    <d v="2019-10-03T00:00:00"/>
    <d v="2019-10-18T00:00:00"/>
    <x v="12"/>
    <n v="9"/>
    <n v="13"/>
    <n v="0.65"/>
    <n v="0.97014317238212067"/>
    <n v="12.611861240967569"/>
    <n v="8.4500000000000011"/>
    <n v="4.1618612409675677"/>
    <n v="0.20913537037406113"/>
    <n v="4.3709966113416288"/>
    <n v="0"/>
    <n v="0"/>
    <n v="0"/>
    <n v="4.3709966113416288"/>
  </r>
  <r>
    <x v="9"/>
    <d v="2019-11-05T00:00:00"/>
    <d v="2019-11-20T00:00:00"/>
    <x v="12"/>
    <n v="9"/>
    <n v="12"/>
    <n v="0.65"/>
    <n v="0.97014317238212067"/>
    <n v="11.641718068585448"/>
    <n v="7.8000000000000007"/>
    <n v="3.8417180685854468"/>
    <n v="0.19304803419144104"/>
    <n v="4.0347661027768877"/>
    <n v="0"/>
    <n v="0"/>
    <n v="0"/>
    <n v="4.0347661027768877"/>
  </r>
  <r>
    <x v="10"/>
    <d v="2019-12-04T00:00:00"/>
    <d v="2019-12-19T00:00:00"/>
    <x v="12"/>
    <n v="9"/>
    <n v="9"/>
    <n v="0.65"/>
    <n v="0.97014317238212067"/>
    <n v="8.7312885514390857"/>
    <n v="5.8500000000000005"/>
    <n v="2.8812885514390851"/>
    <n v="0.14478602564358078"/>
    <n v="3.026074577082666"/>
    <n v="0"/>
    <n v="0"/>
    <n v="0"/>
    <n v="3.026074577082666"/>
  </r>
  <r>
    <x v="11"/>
    <d v="2020-01-03T00:00:00"/>
    <d v="2020-01-20T00:00:00"/>
    <x v="12"/>
    <n v="9"/>
    <n v="10"/>
    <n v="0.65"/>
    <n v="0.97014317238212067"/>
    <n v="9.7014317238212069"/>
    <n v="6.5"/>
    <n v="3.2014317238212069"/>
    <n v="0.16087336182620085"/>
    <n v="3.3623050856474079"/>
    <n v="0"/>
    <n v="0"/>
    <n v="0"/>
    <n v="3.3623050856474079"/>
  </r>
  <r>
    <x v="0"/>
    <d v="2019-02-05T00:00:00"/>
    <d v="2019-02-20T00:00:00"/>
    <x v="13"/>
    <n v="9"/>
    <n v="22"/>
    <n v="0.65"/>
    <n v="0.97014317238212067"/>
    <n v="21.343149792406656"/>
    <n v="14.3"/>
    <n v="7.0431497924066555"/>
    <n v="0.35392139601764189"/>
    <n v="7.397071188424297"/>
    <n v="0"/>
    <n v="0"/>
    <n v="0"/>
    <n v="7.397071188424297"/>
  </r>
  <r>
    <x v="1"/>
    <d v="2019-03-05T00:00:00"/>
    <d v="2019-03-20T00:00:00"/>
    <x v="13"/>
    <n v="9"/>
    <n v="20"/>
    <n v="0.65"/>
    <n v="0.97014317238212067"/>
    <n v="19.402863447642414"/>
    <n v="13"/>
    <n v="6.4028634476424138"/>
    <n v="0.3217467236524017"/>
    <n v="6.7246101712948159"/>
    <n v="0"/>
    <n v="0"/>
    <n v="0"/>
    <n v="6.7246101712948159"/>
  </r>
  <r>
    <x v="2"/>
    <d v="2019-04-03T00:00:00"/>
    <d v="2019-04-18T00:00:00"/>
    <x v="13"/>
    <n v="9"/>
    <n v="21"/>
    <n v="0.65"/>
    <n v="0.97014317238212067"/>
    <n v="20.373006620024533"/>
    <n v="13.65"/>
    <n v="6.7230066200245329"/>
    <n v="0.33783405983502179"/>
    <n v="7.0608406798595542"/>
    <n v="0"/>
    <n v="0"/>
    <n v="0"/>
    <n v="7.0608406798595542"/>
  </r>
  <r>
    <x v="3"/>
    <d v="2019-05-03T00:00:00"/>
    <d v="2019-05-20T00:00:00"/>
    <x v="13"/>
    <n v="9"/>
    <n v="21"/>
    <n v="0.65"/>
    <n v="0.97014317238212067"/>
    <n v="20.373006620024533"/>
    <n v="13.65"/>
    <n v="6.7230066200245329"/>
    <n v="0.33783405983502179"/>
    <n v="7.0608406798595542"/>
    <n v="0"/>
    <n v="0"/>
    <n v="0"/>
    <n v="7.0608406798595542"/>
  </r>
  <r>
    <x v="4"/>
    <d v="2019-06-05T00:00:00"/>
    <d v="2019-06-20T00:00:00"/>
    <x v="13"/>
    <n v="9"/>
    <n v="30"/>
    <n v="0.65"/>
    <n v="0.97014317238212067"/>
    <n v="29.104295171463619"/>
    <n v="19.5"/>
    <n v="9.6042951714636189"/>
    <n v="0.48262008547860263"/>
    <n v="10.086915256942222"/>
    <n v="0"/>
    <n v="0"/>
    <n v="0"/>
    <n v="10.086915256942222"/>
  </r>
  <r>
    <x v="5"/>
    <d v="2019-07-03T00:00:00"/>
    <d v="2019-07-18T00:00:00"/>
    <x v="13"/>
    <n v="9"/>
    <n v="32"/>
    <n v="0.65"/>
    <n v="0.97014317238212067"/>
    <n v="31.044581516227861"/>
    <n v="20.8"/>
    <n v="10.244581516227861"/>
    <n v="0.51479475784384277"/>
    <n v="10.759376274071704"/>
    <n v="0"/>
    <n v="0"/>
    <n v="0"/>
    <n v="10.759376274071704"/>
  </r>
  <r>
    <x v="6"/>
    <d v="2019-08-05T00:00:00"/>
    <d v="2019-08-20T00:00:00"/>
    <x v="13"/>
    <n v="9"/>
    <n v="33"/>
    <n v="0.65"/>
    <n v="0.97014317238212067"/>
    <n v="32.014724688609981"/>
    <n v="21.45"/>
    <n v="10.564724688609981"/>
    <n v="0.53088209402646291"/>
    <n v="11.095606782636445"/>
    <n v="0"/>
    <n v="0"/>
    <n v="0"/>
    <n v="11.095606782636445"/>
  </r>
  <r>
    <x v="7"/>
    <d v="2019-09-04T00:00:00"/>
    <d v="2019-09-19T00:00:00"/>
    <x v="13"/>
    <n v="9"/>
    <n v="36"/>
    <n v="0.65"/>
    <n v="0.97014317238212067"/>
    <n v="34.925154205756343"/>
    <n v="23.400000000000002"/>
    <n v="11.525154205756341"/>
    <n v="0.57914410257432314"/>
    <n v="12.104298308330664"/>
    <n v="0"/>
    <n v="0"/>
    <n v="0"/>
    <n v="12.104298308330664"/>
  </r>
  <r>
    <x v="8"/>
    <d v="2019-10-03T00:00:00"/>
    <d v="2019-10-18T00:00:00"/>
    <x v="13"/>
    <n v="9"/>
    <n v="34"/>
    <n v="0.65"/>
    <n v="0.97014317238212067"/>
    <n v="32.984867860992104"/>
    <n v="22.1"/>
    <n v="10.884867860992102"/>
    <n v="0.54696943020908295"/>
    <n v="11.431837291201186"/>
    <n v="0"/>
    <n v="0"/>
    <n v="0"/>
    <n v="11.431837291201186"/>
  </r>
  <r>
    <x v="9"/>
    <d v="2019-11-05T00:00:00"/>
    <d v="2019-11-20T00:00:00"/>
    <x v="13"/>
    <n v="9"/>
    <n v="34"/>
    <n v="0.65"/>
    <n v="0.97014317238212067"/>
    <n v="32.984867860992104"/>
    <n v="22.1"/>
    <n v="10.884867860992102"/>
    <n v="0.54696943020908295"/>
    <n v="11.431837291201186"/>
    <n v="0"/>
    <n v="0"/>
    <n v="0"/>
    <n v="11.431837291201186"/>
  </r>
  <r>
    <x v="10"/>
    <d v="2019-12-04T00:00:00"/>
    <d v="2019-12-19T00:00:00"/>
    <x v="13"/>
    <n v="9"/>
    <n v="21"/>
    <n v="0.65"/>
    <n v="0.97014317238212067"/>
    <n v="20.373006620024533"/>
    <n v="13.65"/>
    <n v="6.7230066200245329"/>
    <n v="0.33783405983502179"/>
    <n v="7.0608406798595542"/>
    <n v="0"/>
    <n v="0"/>
    <n v="0"/>
    <n v="7.0608406798595542"/>
  </r>
  <r>
    <x v="11"/>
    <d v="2020-01-03T00:00:00"/>
    <d v="2020-01-20T00:00:00"/>
    <x v="13"/>
    <n v="9"/>
    <n v="21"/>
    <n v="0.65"/>
    <n v="0.97014317238212067"/>
    <n v="20.373006620024533"/>
    <n v="13.65"/>
    <n v="6.7230066200245329"/>
    <n v="0.33783405983502179"/>
    <n v="7.0608406798595542"/>
    <n v="0"/>
    <n v="0"/>
    <n v="0"/>
    <n v="7.0608406798595542"/>
  </r>
  <r>
    <x v="0"/>
    <d v="2019-02-05T00:00:00"/>
    <d v="2019-02-20T00:00:00"/>
    <x v="14"/>
    <n v="9"/>
    <n v="43"/>
    <n v="0.65"/>
    <n v="0.97014317238212067"/>
    <n v="41.716156412431189"/>
    <n v="27.95"/>
    <n v="13.76615641243119"/>
    <n v="0.69175545585266374"/>
    <n v="14.457911868283855"/>
    <n v="0"/>
    <n v="0"/>
    <n v="0"/>
    <n v="14.457911868283855"/>
  </r>
  <r>
    <x v="1"/>
    <d v="2019-03-05T00:00:00"/>
    <d v="2019-03-20T00:00:00"/>
    <x v="14"/>
    <n v="9"/>
    <n v="42"/>
    <n v="0.65"/>
    <n v="0.97014317238212067"/>
    <n v="40.746013240049066"/>
    <n v="27.3"/>
    <n v="13.446013240049066"/>
    <n v="0.67566811967004359"/>
    <n v="14.121681359719108"/>
    <n v="0"/>
    <n v="0"/>
    <n v="0"/>
    <n v="14.121681359719108"/>
  </r>
  <r>
    <x v="2"/>
    <d v="2019-04-03T00:00:00"/>
    <d v="2019-04-18T00:00:00"/>
    <x v="14"/>
    <n v="9"/>
    <n v="42"/>
    <n v="0.65"/>
    <n v="0.97014317238212067"/>
    <n v="40.746013240049066"/>
    <n v="27.3"/>
    <n v="13.446013240049066"/>
    <n v="0.67566811967004359"/>
    <n v="14.121681359719108"/>
    <n v="0"/>
    <n v="0"/>
    <n v="0"/>
    <n v="14.121681359719108"/>
  </r>
  <r>
    <x v="3"/>
    <d v="2019-05-03T00:00:00"/>
    <d v="2019-05-20T00:00:00"/>
    <x v="14"/>
    <n v="9"/>
    <n v="39"/>
    <n v="0.65"/>
    <n v="0.97014317238212067"/>
    <n v="37.835583722902705"/>
    <n v="25.35"/>
    <n v="12.485583722902703"/>
    <n v="0.62740611112218336"/>
    <n v="13.112989834024887"/>
    <n v="0"/>
    <n v="0"/>
    <n v="0"/>
    <n v="13.112989834024887"/>
  </r>
  <r>
    <x v="4"/>
    <d v="2019-06-05T00:00:00"/>
    <d v="2019-06-20T00:00:00"/>
    <x v="14"/>
    <n v="9"/>
    <n v="49"/>
    <n v="0.65"/>
    <n v="0.97014317238212067"/>
    <n v="47.537015446723913"/>
    <n v="31.85"/>
    <n v="15.687015446723912"/>
    <n v="0.78827947294838419"/>
    <n v="16.475294919672297"/>
    <n v="0"/>
    <n v="0"/>
    <n v="0"/>
    <n v="16.475294919672297"/>
  </r>
  <r>
    <x v="5"/>
    <d v="2019-07-03T00:00:00"/>
    <d v="2019-07-18T00:00:00"/>
    <x v="14"/>
    <n v="9"/>
    <n v="52"/>
    <n v="0.65"/>
    <n v="0.97014317238212067"/>
    <n v="50.447444963870275"/>
    <n v="33.800000000000004"/>
    <n v="16.647444963870271"/>
    <n v="0.83654148149624452"/>
    <n v="17.483986445366515"/>
    <n v="0"/>
    <n v="0"/>
    <n v="0"/>
    <n v="17.483986445366515"/>
  </r>
  <r>
    <x v="6"/>
    <d v="2019-08-05T00:00:00"/>
    <d v="2019-08-20T00:00:00"/>
    <x v="14"/>
    <n v="9"/>
    <n v="53"/>
    <n v="0.65"/>
    <n v="0.97014317238212067"/>
    <n v="51.417588136252398"/>
    <n v="34.450000000000003"/>
    <n v="16.967588136252395"/>
    <n v="0.85262881767886456"/>
    <n v="17.820216953931261"/>
    <n v="0"/>
    <n v="0"/>
    <n v="0"/>
    <n v="17.820216953931261"/>
  </r>
  <r>
    <x v="7"/>
    <d v="2019-09-04T00:00:00"/>
    <d v="2019-09-19T00:00:00"/>
    <x v="14"/>
    <n v="9"/>
    <n v="53"/>
    <n v="0.65"/>
    <n v="0.97014317238212067"/>
    <n v="51.417588136252398"/>
    <n v="34.450000000000003"/>
    <n v="16.967588136252395"/>
    <n v="0.85262881767886456"/>
    <n v="17.820216953931261"/>
    <n v="0"/>
    <n v="0"/>
    <n v="0"/>
    <n v="17.820216953931261"/>
  </r>
  <r>
    <x v="8"/>
    <d v="2019-10-03T00:00:00"/>
    <d v="2019-10-18T00:00:00"/>
    <x v="14"/>
    <n v="9"/>
    <n v="49"/>
    <n v="0.65"/>
    <n v="0.97014317238212067"/>
    <n v="47.537015446723913"/>
    <n v="31.85"/>
    <n v="15.687015446723912"/>
    <n v="0.78827947294838419"/>
    <n v="16.475294919672297"/>
    <n v="0"/>
    <n v="0"/>
    <n v="0"/>
    <n v="16.475294919672297"/>
  </r>
  <r>
    <x v="9"/>
    <d v="2019-11-05T00:00:00"/>
    <d v="2019-11-20T00:00:00"/>
    <x v="14"/>
    <n v="9"/>
    <n v="49"/>
    <n v="0.65"/>
    <n v="0.97014317238212067"/>
    <n v="47.537015446723913"/>
    <n v="31.85"/>
    <n v="15.687015446723912"/>
    <n v="0.78827947294838419"/>
    <n v="16.475294919672297"/>
    <n v="0"/>
    <n v="0"/>
    <n v="0"/>
    <n v="16.475294919672297"/>
  </r>
  <r>
    <x v="10"/>
    <d v="2019-12-04T00:00:00"/>
    <d v="2019-12-19T00:00:00"/>
    <x v="14"/>
    <n v="9"/>
    <n v="35"/>
    <n v="0.65"/>
    <n v="0.97014317238212067"/>
    <n v="33.955011033374227"/>
    <n v="22.75"/>
    <n v="11.205011033374227"/>
    <n v="0.56305676639170299"/>
    <n v="11.76806779976593"/>
    <n v="0"/>
    <n v="0"/>
    <n v="0"/>
    <n v="11.76806779976593"/>
  </r>
  <r>
    <x v="11"/>
    <d v="2020-01-03T00:00:00"/>
    <d v="2020-01-20T00:00:00"/>
    <x v="14"/>
    <n v="9"/>
    <n v="35"/>
    <n v="0.65"/>
    <n v="0.97014317238212067"/>
    <n v="33.955011033374227"/>
    <n v="22.75"/>
    <n v="11.205011033374227"/>
    <n v="0.56305676639170299"/>
    <n v="11.76806779976593"/>
    <n v="0"/>
    <n v="0"/>
    <n v="0"/>
    <n v="11.76806779976593"/>
  </r>
  <r>
    <x v="0"/>
    <d v="2019-02-05T00:00:00"/>
    <d v="2019-02-20T00:00:00"/>
    <x v="15"/>
    <n v="9"/>
    <n v="104"/>
    <n v="0.65"/>
    <n v="0.97014317238212067"/>
    <n v="100.89488992774055"/>
    <n v="67.600000000000009"/>
    <n v="33.294889927740542"/>
    <n v="1.673082962992489"/>
    <n v="34.96797289073303"/>
    <n v="0"/>
    <n v="0"/>
    <n v="0"/>
    <n v="34.96797289073303"/>
  </r>
  <r>
    <x v="1"/>
    <d v="2019-03-05T00:00:00"/>
    <d v="2019-03-20T00:00:00"/>
    <x v="15"/>
    <n v="9"/>
    <n v="103"/>
    <n v="0.65"/>
    <n v="0.97014317238212067"/>
    <n v="99.924746755358427"/>
    <n v="66.95"/>
    <n v="32.974746755358424"/>
    <n v="1.6569956268098689"/>
    <n v="34.631742382168291"/>
    <n v="0"/>
    <n v="0"/>
    <n v="0"/>
    <n v="34.631742382168291"/>
  </r>
  <r>
    <x v="2"/>
    <d v="2019-04-03T00:00:00"/>
    <d v="2019-04-18T00:00:00"/>
    <x v="15"/>
    <n v="9"/>
    <n v="105"/>
    <n v="0.65"/>
    <n v="0.97014317238212067"/>
    <n v="101.86503310012267"/>
    <n v="68.25"/>
    <n v="33.615033100122673"/>
    <n v="1.689170299175109"/>
    <n v="35.304203399297784"/>
    <n v="0"/>
    <n v="0"/>
    <n v="0"/>
    <n v="35.304203399297784"/>
  </r>
  <r>
    <x v="3"/>
    <d v="2019-05-03T00:00:00"/>
    <d v="2019-05-20T00:00:00"/>
    <x v="15"/>
    <n v="9"/>
    <n v="104"/>
    <n v="0.65"/>
    <n v="0.97014317238212067"/>
    <n v="100.89488992774055"/>
    <n v="67.600000000000009"/>
    <n v="33.294889927740542"/>
    <n v="1.673082962992489"/>
    <n v="34.96797289073303"/>
    <n v="0"/>
    <n v="0"/>
    <n v="0"/>
    <n v="34.96797289073303"/>
  </r>
  <r>
    <x v="4"/>
    <d v="2019-06-05T00:00:00"/>
    <d v="2019-06-20T00:00:00"/>
    <x v="15"/>
    <n v="9"/>
    <n v="106"/>
    <n v="0.65"/>
    <n v="0.97014317238212067"/>
    <n v="102.8351762725048"/>
    <n v="68.900000000000006"/>
    <n v="33.935176272504791"/>
    <n v="1.7052576353577291"/>
    <n v="35.640433907862523"/>
    <n v="0"/>
    <n v="0"/>
    <n v="0"/>
    <n v="35.640433907862523"/>
  </r>
  <r>
    <x v="5"/>
    <d v="2019-07-03T00:00:00"/>
    <d v="2019-07-18T00:00:00"/>
    <x v="15"/>
    <n v="9"/>
    <n v="100"/>
    <n v="0.65"/>
    <n v="0.97014317238212067"/>
    <n v="97.014317238212072"/>
    <n v="65"/>
    <n v="32.014317238212072"/>
    <n v="1.6087336182620087"/>
    <n v="33.62305085647408"/>
    <n v="0"/>
    <n v="0"/>
    <n v="0"/>
    <n v="33.62305085647408"/>
  </r>
  <r>
    <x v="6"/>
    <d v="2019-08-05T00:00:00"/>
    <d v="2019-08-20T00:00:00"/>
    <x v="15"/>
    <n v="9"/>
    <n v="117"/>
    <n v="0.65"/>
    <n v="0.97014317238212067"/>
    <n v="113.50675116870812"/>
    <n v="76.05"/>
    <n v="37.456751168708124"/>
    <n v="1.8822183333665499"/>
    <n v="39.338969502074676"/>
    <n v="0"/>
    <n v="0"/>
    <n v="0"/>
    <n v="39.338969502074676"/>
  </r>
  <r>
    <x v="7"/>
    <d v="2019-09-04T00:00:00"/>
    <d v="2019-09-19T00:00:00"/>
    <x v="15"/>
    <n v="9"/>
    <n v="116"/>
    <n v="0.65"/>
    <n v="0.97014317238212067"/>
    <n v="112.536607996326"/>
    <n v="75.400000000000006"/>
    <n v="37.136607996325992"/>
    <n v="1.8661309971839302"/>
    <n v="39.002738993509922"/>
    <n v="0"/>
    <n v="0"/>
    <n v="0"/>
    <n v="39.002738993509922"/>
  </r>
  <r>
    <x v="8"/>
    <d v="2019-10-03T00:00:00"/>
    <d v="2019-10-18T00:00:00"/>
    <x v="15"/>
    <n v="9"/>
    <n v="113"/>
    <n v="0.65"/>
    <n v="0.97014317238212067"/>
    <n v="109.62617847917963"/>
    <n v="73.45"/>
    <n v="36.176178479179626"/>
    <n v="1.8178689886360695"/>
    <n v="37.994047467815697"/>
    <n v="0"/>
    <n v="0"/>
    <n v="0"/>
    <n v="37.994047467815697"/>
  </r>
  <r>
    <x v="9"/>
    <d v="2019-11-05T00:00:00"/>
    <d v="2019-11-20T00:00:00"/>
    <x v="15"/>
    <n v="9"/>
    <n v="113"/>
    <n v="0.65"/>
    <n v="0.97014317238212067"/>
    <n v="109.62617847917963"/>
    <n v="73.45"/>
    <n v="36.176178479179626"/>
    <n v="1.8178689886360695"/>
    <n v="37.994047467815697"/>
    <n v="0"/>
    <n v="0"/>
    <n v="0"/>
    <n v="37.994047467815697"/>
  </r>
  <r>
    <x v="10"/>
    <d v="2019-12-04T00:00:00"/>
    <d v="2019-12-19T00:00:00"/>
    <x v="15"/>
    <n v="9"/>
    <n v="104"/>
    <n v="0.65"/>
    <n v="0.97014317238212067"/>
    <n v="100.89488992774055"/>
    <n v="67.600000000000009"/>
    <n v="33.294889927740542"/>
    <n v="1.673082962992489"/>
    <n v="34.96797289073303"/>
    <n v="0"/>
    <n v="0"/>
    <n v="0"/>
    <n v="34.96797289073303"/>
  </r>
  <r>
    <x v="11"/>
    <d v="2020-01-03T00:00:00"/>
    <d v="2020-01-20T00:00:00"/>
    <x v="15"/>
    <n v="9"/>
    <n v="41"/>
    <n v="0.65"/>
    <n v="0.97014317238212067"/>
    <n v="39.775870067666951"/>
    <n v="26.650000000000002"/>
    <n v="13.125870067666948"/>
    <n v="0.65958078348742355"/>
    <n v="13.785450851154373"/>
    <n v="0"/>
    <n v="0"/>
    <n v="0"/>
    <n v="13.7854508511543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3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21">
        <item m="1" x="45"/>
        <item m="1" x="63"/>
        <item m="1" x="81"/>
        <item m="1" x="99"/>
        <item m="1" x="117"/>
        <item m="1" x="27"/>
        <item m="1" x="54"/>
        <item m="1" x="72"/>
        <item m="1" x="90"/>
        <item m="1" x="108"/>
        <item m="1" x="18"/>
        <item m="1" x="36"/>
        <item m="1" x="46"/>
        <item m="1" x="64"/>
        <item m="1" x="82"/>
        <item m="1" x="100"/>
        <item m="1" x="118"/>
        <item m="1" x="28"/>
        <item m="1" x="55"/>
        <item m="1" x="73"/>
        <item m="1" x="91"/>
        <item m="1" x="109"/>
        <item m="1" x="19"/>
        <item m="1" x="37"/>
        <item m="1" x="47"/>
        <item m="1" x="65"/>
        <item m="1" x="83"/>
        <item m="1" x="101"/>
        <item m="1" x="119"/>
        <item m="1" x="29"/>
        <item m="1" x="56"/>
        <item m="1" x="74"/>
        <item m="1" x="92"/>
        <item m="1" x="110"/>
        <item m="1" x="20"/>
        <item m="1" x="38"/>
        <item m="1" x="48"/>
        <item m="1" x="66"/>
        <item m="1" x="84"/>
        <item m="1" x="102"/>
        <item m="1" x="12"/>
        <item m="1" x="30"/>
        <item m="1" x="57"/>
        <item m="1" x="75"/>
        <item m="1" x="93"/>
        <item m="1" x="111"/>
        <item m="1" x="21"/>
        <item m="1" x="39"/>
        <item m="1" x="49"/>
        <item m="1" x="67"/>
        <item m="1" x="85"/>
        <item m="1" x="103"/>
        <item m="1" x="13"/>
        <item m="1" x="31"/>
        <item m="1" x="58"/>
        <item m="1" x="76"/>
        <item m="1" x="94"/>
        <item m="1" x="112"/>
        <item m="1" x="22"/>
        <item m="1" x="40"/>
        <item m="1" x="50"/>
        <item m="1" x="68"/>
        <item m="1" x="86"/>
        <item m="1" x="104"/>
        <item m="1" x="14"/>
        <item m="1" x="32"/>
        <item m="1" x="59"/>
        <item m="1" x="77"/>
        <item m="1" x="95"/>
        <item m="1" x="113"/>
        <item m="1" x="23"/>
        <item m="1" x="41"/>
        <item m="1" x="51"/>
        <item m="1" x="69"/>
        <item m="1" x="87"/>
        <item m="1" x="105"/>
        <item m="1" x="15"/>
        <item m="1" x="33"/>
        <item m="1" x="60"/>
        <item m="1" x="78"/>
        <item m="1" x="96"/>
        <item m="1" x="114"/>
        <item m="1" x="24"/>
        <item m="1" x="42"/>
        <item m="1" x="52"/>
        <item m="1" x="70"/>
        <item m="1" x="88"/>
        <item m="1" x="106"/>
        <item m="1" x="16"/>
        <item m="1" x="34"/>
        <item m="1" x="61"/>
        <item m="1" x="79"/>
        <item m="1" x="97"/>
        <item m="1" x="115"/>
        <item m="1" x="25"/>
        <item m="1" x="43"/>
        <item m="1" x="53"/>
        <item m="1" x="71"/>
        <item m="1" x="89"/>
        <item m="1" x="107"/>
        <item m="1" x="17"/>
        <item m="1" x="35"/>
        <item m="1" x="62"/>
        <item m="1" x="80"/>
        <item m="1" x="98"/>
        <item m="1" x="116"/>
        <item m="1" x="26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65</v>
      </c>
    </row>
    <row r="3" spans="1:2" x14ac:dyDescent="0.25">
      <c r="A3" s="2">
        <v>1</v>
      </c>
      <c r="B3" s="3" t="s">
        <v>67</v>
      </c>
    </row>
    <row r="4" spans="1:2" ht="13" x14ac:dyDescent="0.3">
      <c r="A4" s="2">
        <v>2</v>
      </c>
      <c r="B4" s="3" t="s">
        <v>66</v>
      </c>
    </row>
    <row r="5" spans="1:2" ht="13" x14ac:dyDescent="0.3">
      <c r="A5" s="2">
        <v>3</v>
      </c>
      <c r="B5" s="3" t="s">
        <v>68</v>
      </c>
    </row>
    <row r="6" spans="1:2" ht="13" x14ac:dyDescent="0.3">
      <c r="A6" s="2">
        <v>4</v>
      </c>
      <c r="B6" s="4" t="s">
        <v>82</v>
      </c>
    </row>
    <row r="7" spans="1:2" x14ac:dyDescent="0.25">
      <c r="A7" s="2">
        <v>5</v>
      </c>
      <c r="B7" s="3" t="s">
        <v>69</v>
      </c>
    </row>
    <row r="8" spans="1:2" x14ac:dyDescent="0.25">
      <c r="A8" s="2">
        <v>6</v>
      </c>
      <c r="B8" s="3" t="s">
        <v>70</v>
      </c>
    </row>
    <row r="9" spans="1:2" x14ac:dyDescent="0.25">
      <c r="A9" s="2">
        <v>7</v>
      </c>
      <c r="B9" s="5" t="s">
        <v>71</v>
      </c>
    </row>
    <row r="10" spans="1:2" ht="13" x14ac:dyDescent="0.3">
      <c r="A10" s="2">
        <v>8</v>
      </c>
      <c r="B10" s="3" t="s">
        <v>74</v>
      </c>
    </row>
    <row r="11" spans="1:2" x14ac:dyDescent="0.25">
      <c r="A11" s="2"/>
      <c r="B11" s="3" t="s">
        <v>75</v>
      </c>
    </row>
    <row r="12" spans="1:2" x14ac:dyDescent="0.25">
      <c r="A12" s="2"/>
      <c r="B12" s="5" t="s">
        <v>76</v>
      </c>
    </row>
    <row r="13" spans="1:2" x14ac:dyDescent="0.25">
      <c r="A13" s="2"/>
      <c r="B13" s="5" t="s">
        <v>77</v>
      </c>
    </row>
    <row r="14" spans="1:2" x14ac:dyDescent="0.25">
      <c r="A14" s="2">
        <v>9</v>
      </c>
      <c r="B14" s="3" t="s">
        <v>78</v>
      </c>
    </row>
    <row r="15" spans="1:2" x14ac:dyDescent="0.25">
      <c r="A15" s="2">
        <v>10</v>
      </c>
      <c r="B15" s="3" t="s">
        <v>80</v>
      </c>
    </row>
    <row r="16" spans="1:2" x14ac:dyDescent="0.25">
      <c r="A16" s="2">
        <v>11</v>
      </c>
      <c r="B16" s="3" t="s">
        <v>81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tabSelected="1" zoomScale="85" zoomScaleNormal="85" zoomScaleSheetLayoutView="100" workbookViewId="0">
      <selection activeCell="C3" sqref="C3:I3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39" t="str">
        <f>+Transactions!B1</f>
        <v>AEPTCo Formula Rate -- FERC Docket ER18-194</v>
      </c>
      <c r="D1" s="239"/>
      <c r="E1" s="239"/>
      <c r="F1" s="239"/>
      <c r="G1" s="239"/>
      <c r="H1" s="239"/>
      <c r="I1" s="239"/>
      <c r="L1" s="6">
        <v>2020</v>
      </c>
    </row>
    <row r="2" spans="2:19" ht="13" x14ac:dyDescent="0.3">
      <c r="C2" s="239" t="s">
        <v>36</v>
      </c>
      <c r="D2" s="239"/>
      <c r="E2" s="239"/>
      <c r="F2" s="239"/>
      <c r="G2" s="239"/>
      <c r="H2" s="239"/>
      <c r="I2" s="239"/>
    </row>
    <row r="3" spans="2:19" ht="13" x14ac:dyDescent="0.3">
      <c r="C3" s="239" t="str">
        <f>"for period 01/01/"&amp;F8&amp;" - 12/31/"&amp;F8</f>
        <v>for period 01/01/2019 - 12/31/2019</v>
      </c>
      <c r="D3" s="239"/>
      <c r="E3" s="239"/>
      <c r="F3" s="239"/>
      <c r="G3" s="239"/>
      <c r="H3" s="239"/>
      <c r="I3" s="239"/>
    </row>
    <row r="4" spans="2:19" ht="13" x14ac:dyDescent="0.3">
      <c r="C4" s="239" t="s">
        <v>96</v>
      </c>
      <c r="D4" s="239"/>
      <c r="E4" s="239"/>
      <c r="F4" s="239"/>
      <c r="G4" s="239"/>
      <c r="H4" s="239"/>
      <c r="I4" s="239"/>
    </row>
    <row r="5" spans="2:19" x14ac:dyDescent="0.25">
      <c r="C5" s="7" t="str">
        <f>"Prepared:  May 22_, "&amp;L1&amp;""</f>
        <v>Prepared:  May 22_, 2020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2019</v>
      </c>
    </row>
    <row r="9" spans="2:19" ht="20.25" customHeight="1" x14ac:dyDescent="0.3">
      <c r="E9" s="12" t="s">
        <v>95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2019 Projections 2019)</v>
      </c>
      <c r="F10" s="18" t="str">
        <f>"(per "&amp;F8+1&amp;" Update of May "&amp;F8+1&amp;")"</f>
        <v>(per 2020 Update of May 2020)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65769.398054551828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43</v>
      </c>
      <c r="E12" s="30"/>
      <c r="F12" s="31">
        <f>+Transactions!J2</f>
        <v>100136.23796693773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0.65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42</v>
      </c>
      <c r="E14" s="44"/>
      <c r="F14" s="45">
        <f>+Transactions!J3</f>
        <v>0.97014317238212067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K19" s="34"/>
      <c r="N19" s="52"/>
      <c r="O19" s="53"/>
      <c r="P19" s="53"/>
      <c r="Q19" s="53"/>
      <c r="R19" s="53"/>
      <c r="S19" s="53"/>
    </row>
    <row r="20" spans="2:19" ht="53.25" customHeight="1" x14ac:dyDescent="0.25">
      <c r="C20" s="57" t="s">
        <v>52</v>
      </c>
      <c r="D20" s="58" t="str">
        <f>"Actual Charge
("&amp;F8&amp;" True-Up)"</f>
        <v>Actual Charge
(2019 True-Up)</v>
      </c>
      <c r="E20" s="59" t="str">
        <f>"Invoiced for
CY"&amp;F8&amp;" Transmission Service"</f>
        <v>Invoiced for
CY2019 Transmission Service</v>
      </c>
      <c r="F20" s="58" t="s">
        <v>41</v>
      </c>
      <c r="G20" s="60" t="s">
        <v>7</v>
      </c>
      <c r="H20" s="60" t="s">
        <v>88</v>
      </c>
      <c r="I20" s="61" t="s">
        <v>46</v>
      </c>
      <c r="K20" s="34"/>
      <c r="N20" s="52"/>
      <c r="O20" s="53"/>
      <c r="P20" s="53"/>
      <c r="Q20" s="53"/>
      <c r="R20" s="53"/>
      <c r="S20" s="53"/>
    </row>
    <row r="21" spans="2:19" x14ac:dyDescent="0.25">
      <c r="B21" s="62"/>
      <c r="C21" s="63" t="s">
        <v>14</v>
      </c>
      <c r="D21" s="64">
        <f>GETPIVOTDATA("Sum of "&amp;T(Transactions!$J$19),Pivot!$A$3,"Customer",C21)</f>
        <v>8912.7053246745418</v>
      </c>
      <c r="E21" s="64">
        <f>GETPIVOTDATA("Sum of "&amp;T(Transactions!$K$19),Pivot!$A$3,"Customer",C21)</f>
        <v>5971.5500000000011</v>
      </c>
      <c r="F21" s="64">
        <f>D21-E21</f>
        <v>2941.1553246745407</v>
      </c>
      <c r="G21" s="53">
        <f>+GETPIVOTDATA("Sum of "&amp;T(Transactions!$M$19),Pivot!$A$3,"Customer","AECC")</f>
        <v>147.79435750973073</v>
      </c>
      <c r="H21" s="53">
        <f>GETPIVOTDATA("Sum of "&amp;T(Transactions!$Q$19),Pivot!$A$3,"Customer","AECC")</f>
        <v>0</v>
      </c>
      <c r="I21" s="65">
        <f>F21+G21-H21</f>
        <v>3088.9496821842713</v>
      </c>
      <c r="K21" s="66"/>
      <c r="L21" s="62"/>
      <c r="N21" s="52"/>
      <c r="O21" s="53"/>
      <c r="P21" s="53"/>
      <c r="Q21" s="53"/>
      <c r="R21" s="53"/>
      <c r="S21" s="53"/>
    </row>
    <row r="22" spans="2:19" x14ac:dyDescent="0.25">
      <c r="B22" s="62"/>
      <c r="C22" s="67" t="s">
        <v>85</v>
      </c>
      <c r="D22" s="64">
        <f>GETPIVOTDATA("Sum of "&amp;T(Transactions!$J$19),Pivot!$A$3,"Customer",C22)</f>
        <v>463.72843639865374</v>
      </c>
      <c r="E22" s="64">
        <f>GETPIVOTDATA("Sum of "&amp;T(Transactions!$K$19),Pivot!$A$3,"Customer",C22)</f>
        <v>310.7</v>
      </c>
      <c r="F22" s="64">
        <f>D22-E22</f>
        <v>153.02843639865375</v>
      </c>
      <c r="G22" s="53">
        <f>+GETPIVOTDATA("Sum of "&amp;T(Transactions!$M$19),Pivot!$A$3,"Customer","AECI")</f>
        <v>7.689746695292401</v>
      </c>
      <c r="H22" s="53">
        <f>GETPIVOTDATA("Sum of "&amp;T(Transactions!$Q$19),Pivot!$A$3,"Customer",C22)</f>
        <v>0</v>
      </c>
      <c r="I22" s="65">
        <f t="shared" ref="I22:I33" si="0">F22+G22-H22</f>
        <v>160.71818309394615</v>
      </c>
      <c r="K22" s="66"/>
      <c r="L22" s="62"/>
      <c r="N22" s="52"/>
      <c r="O22" s="53"/>
      <c r="P22" s="53"/>
      <c r="Q22" s="53"/>
      <c r="R22" s="53"/>
      <c r="S22" s="53"/>
    </row>
    <row r="23" spans="2:19" x14ac:dyDescent="0.25">
      <c r="B23" s="62"/>
      <c r="C23" s="67" t="s">
        <v>56</v>
      </c>
      <c r="D23" s="64">
        <f>GETPIVOTDATA("Sum of "&amp;T(Transactions!$J$19),Pivot!$A$3,"Customer",C23)</f>
        <v>1464.9161902970025</v>
      </c>
      <c r="E23" s="64">
        <f>GETPIVOTDATA("Sum of "&amp;T(Transactions!$K$19),Pivot!$A$3,"Customer",C23)</f>
        <v>981.5</v>
      </c>
      <c r="F23" s="64">
        <f t="shared" ref="F23:F35" si="1">D23-E23</f>
        <v>483.41619029700246</v>
      </c>
      <c r="G23" s="53">
        <f>+GETPIVOTDATA("Sum of "&amp;T(Transactions!$M$19),Pivot!$A$3,"Customer","Bentonville, AR")</f>
        <v>24.291877635756332</v>
      </c>
      <c r="H23" s="53">
        <f>GETPIVOTDATA("Sum of "&amp;T(Transactions!$Q$19),Pivot!$A$3,"Customer",C23)</f>
        <v>0</v>
      </c>
      <c r="I23" s="65">
        <f t="shared" si="0"/>
        <v>507.70806793275881</v>
      </c>
      <c r="K23" s="66"/>
      <c r="L23" s="62"/>
      <c r="N23" s="52"/>
      <c r="O23" s="53"/>
      <c r="P23" s="53"/>
      <c r="Q23" s="53"/>
      <c r="R23" s="53"/>
      <c r="S23" s="53"/>
    </row>
    <row r="24" spans="2:19" x14ac:dyDescent="0.25">
      <c r="B24" s="62"/>
      <c r="C24" s="63" t="s">
        <v>17</v>
      </c>
      <c r="D24" s="64">
        <f>GETPIVOTDATA("Sum of "&amp;T(Transactions!$J$19),Pivot!$A$3,"Customer",C24)</f>
        <v>1189.3955293404799</v>
      </c>
      <c r="E24" s="64">
        <f>GETPIVOTDATA("Sum of "&amp;T(Transactions!$K$19),Pivot!$A$3,"Customer",C24)</f>
        <v>796.9000000000002</v>
      </c>
      <c r="F24" s="64">
        <f t="shared" si="1"/>
        <v>392.49552934047972</v>
      </c>
      <c r="G24" s="53">
        <f>+GETPIVOTDATA("Sum of "&amp;T(Transactions!$M$19),Pivot!$A$3,"Customer","Coffeyville, KS")</f>
        <v>19.723074159892224</v>
      </c>
      <c r="H24" s="53">
        <f>GETPIVOTDATA("Sum of "&amp;T(Transactions!$Q$19),Pivot!$A$3,"Customer",C24)</f>
        <v>0</v>
      </c>
      <c r="I24" s="65">
        <f t="shared" si="0"/>
        <v>412.21860350037196</v>
      </c>
      <c r="K24" s="68"/>
      <c r="L24" s="62"/>
      <c r="N24" s="52"/>
      <c r="O24" s="53"/>
      <c r="P24" s="53"/>
      <c r="Q24" s="53"/>
      <c r="R24" s="53"/>
      <c r="S24" s="53"/>
    </row>
    <row r="25" spans="2:19" x14ac:dyDescent="0.25">
      <c r="B25" s="62"/>
      <c r="C25" s="67" t="s">
        <v>13</v>
      </c>
      <c r="D25" s="64">
        <f>GETPIVOTDATA("Sum of "&amp;T(Transactions!$J$19),Pivot!$A$3,"Customer",C25)</f>
        <v>10250.532759389487</v>
      </c>
      <c r="E25" s="64">
        <f>GETPIVOTDATA("Sum of "&amp;T(Transactions!$K$19),Pivot!$A$3,"Customer",C25)</f>
        <v>6867.9</v>
      </c>
      <c r="F25" s="64">
        <f t="shared" si="1"/>
        <v>3382.6327593894875</v>
      </c>
      <c r="G25" s="53">
        <f>+GETPIVOTDATA("Sum of "&amp;T(Transactions!$M$19),Pivot!$A$3,"Customer","ETEC")</f>
        <v>169.97879410556385</v>
      </c>
      <c r="H25" s="53">
        <f>GETPIVOTDATA("Sum of "&amp;T(Transactions!$Q$19),Pivot!$A$3,"Customer",C25)</f>
        <v>0</v>
      </c>
      <c r="I25" s="65">
        <f t="shared" si="0"/>
        <v>3552.6115534950513</v>
      </c>
      <c r="K25" s="68"/>
      <c r="L25" s="62"/>
      <c r="N25" s="54"/>
      <c r="O25" s="53"/>
      <c r="P25" s="53"/>
      <c r="Q25" s="53"/>
      <c r="R25" s="53"/>
      <c r="S25" s="53"/>
    </row>
    <row r="26" spans="2:19" x14ac:dyDescent="0.25">
      <c r="B26" s="62"/>
      <c r="C26" s="63" t="s">
        <v>15</v>
      </c>
      <c r="D26" s="64">
        <f>GETPIVOTDATA("Sum of "&amp;T(Transactions!$J$19),Pivot!$A$3,"Customer",C26)</f>
        <v>99.924746755358427</v>
      </c>
      <c r="E26" s="64">
        <f>GETPIVOTDATA("Sum of "&amp;T(Transactions!$K$19),Pivot!$A$3,"Customer",C26)</f>
        <v>66.95</v>
      </c>
      <c r="F26" s="64">
        <f t="shared" si="1"/>
        <v>32.974746755358424</v>
      </c>
      <c r="G26" s="53">
        <f>+GETPIVOTDATA("Sum of "&amp;T(Transactions!$M$19),Pivot!$A$3,"Customer","Greenbelt")</f>
        <v>1.6569956268098689</v>
      </c>
      <c r="H26" s="53">
        <f>GETPIVOTDATA("Sum of "&amp;T(Transactions!$Q$19),Pivot!$A$3,"Customer",C26)</f>
        <v>0</v>
      </c>
      <c r="I26" s="65">
        <f t="shared" si="0"/>
        <v>34.631742382168291</v>
      </c>
      <c r="K26" s="69"/>
      <c r="L26" s="62"/>
      <c r="M26" s="70"/>
      <c r="N26" s="70"/>
      <c r="O26" s="70"/>
      <c r="P26" s="70"/>
      <c r="Q26" s="53"/>
      <c r="R26" s="53"/>
      <c r="S26" s="53"/>
    </row>
    <row r="27" spans="2:19" x14ac:dyDescent="0.25">
      <c r="B27" s="62"/>
      <c r="C27" s="63" t="s">
        <v>59</v>
      </c>
      <c r="D27" s="64">
        <f>GETPIVOTDATA("Sum of "&amp;T(Transactions!$J$19),Pivot!$A$3,"Customer",C27)</f>
        <v>524.84745625872722</v>
      </c>
      <c r="E27" s="64">
        <f>GETPIVOTDATA("Sum of "&amp;T(Transactions!$K$19),Pivot!$A$3,"Customer",C27)</f>
        <v>351.65000000000003</v>
      </c>
      <c r="F27" s="64">
        <f t="shared" si="1"/>
        <v>173.19745625872719</v>
      </c>
      <c r="G27" s="53">
        <f>+GETPIVOTDATA("Sum of "&amp;T(Transactions!$M$19),Pivot!$A$3,"Customer","Hope, AR")</f>
        <v>8.7032488747974668</v>
      </c>
      <c r="H27" s="53">
        <f>GETPIVOTDATA("Sum of "&amp;T(Transactions!$Q$19),Pivot!$A$3,"Customer",C27)</f>
        <v>0</v>
      </c>
      <c r="I27" s="65">
        <f t="shared" si="0"/>
        <v>181.90070513352464</v>
      </c>
      <c r="K27" s="69"/>
      <c r="L27" s="62"/>
      <c r="M27" s="70"/>
      <c r="N27" s="70"/>
      <c r="O27" s="70"/>
      <c r="P27" s="70"/>
      <c r="Q27" s="53"/>
      <c r="R27" s="53"/>
      <c r="S27" s="53"/>
    </row>
    <row r="28" spans="2:19" x14ac:dyDescent="0.25">
      <c r="B28" s="62"/>
      <c r="C28" s="63" t="s">
        <v>16</v>
      </c>
      <c r="D28" s="64">
        <f>GETPIVOTDATA("Sum of "&amp;T(Transactions!$J$19),Pivot!$A$3,"Customer",C28)</f>
        <v>37.835583722902705</v>
      </c>
      <c r="E28" s="64">
        <f>GETPIVOTDATA("Sum of "&amp;T(Transactions!$K$19),Pivot!$A$3,"Customer",C28)</f>
        <v>25.350000000000005</v>
      </c>
      <c r="F28" s="64">
        <f t="shared" si="1"/>
        <v>12.4855837229027</v>
      </c>
      <c r="G28" s="53">
        <f>+GETPIVOTDATA("Sum of "&amp;T(Transactions!$M$19),Pivot!$A$3,"Customer","Lighthouse")</f>
        <v>0.62740611112218336</v>
      </c>
      <c r="H28" s="53">
        <f>GETPIVOTDATA("Sum of "&amp;T(Transactions!$Q$19),Pivot!$A$3,"Customer",C28)</f>
        <v>0</v>
      </c>
      <c r="I28" s="65">
        <f t="shared" si="0"/>
        <v>13.112989834024884</v>
      </c>
      <c r="K28" s="68"/>
      <c r="L28" s="62"/>
      <c r="N28" s="52"/>
      <c r="O28" s="53"/>
      <c r="P28" s="53"/>
      <c r="Q28" s="53"/>
      <c r="R28" s="53"/>
      <c r="S28" s="53"/>
    </row>
    <row r="29" spans="2:19" x14ac:dyDescent="0.25">
      <c r="B29" s="62"/>
      <c r="C29" s="67" t="s">
        <v>58</v>
      </c>
      <c r="D29" s="64">
        <f>GETPIVOTDATA("Sum of "&amp;T(Transactions!$J$19),Pivot!$A$3,"Customer",C29)</f>
        <v>315.29653102418916</v>
      </c>
      <c r="E29" s="64">
        <f>GETPIVOTDATA("Sum of "&amp;T(Transactions!$K$19),Pivot!$A$3,"Customer",C29)</f>
        <v>211.25</v>
      </c>
      <c r="F29" s="64">
        <f t="shared" si="1"/>
        <v>104.04653102418916</v>
      </c>
      <c r="G29" s="53">
        <f>+GETPIVOTDATA("Sum of "&amp;T(Transactions!$M$19),Pivot!$A$3,"Customer","Minden, LA")</f>
        <v>5.2283842593515288</v>
      </c>
      <c r="H29" s="53">
        <f>GETPIVOTDATA("Sum of "&amp;T(Transactions!$Q$19),Pivot!$A$3,"Customer",C29)</f>
        <v>0</v>
      </c>
      <c r="I29" s="65">
        <f t="shared" si="0"/>
        <v>109.27491528354069</v>
      </c>
      <c r="K29" s="68"/>
      <c r="L29" s="62"/>
      <c r="N29" s="52"/>
      <c r="O29" s="53"/>
      <c r="P29" s="53"/>
      <c r="Q29" s="53"/>
      <c r="R29" s="53"/>
      <c r="S29" s="53"/>
    </row>
    <row r="30" spans="2:19" x14ac:dyDescent="0.25">
      <c r="B30" s="62"/>
      <c r="C30" s="67" t="s">
        <v>19</v>
      </c>
      <c r="D30" s="64">
        <f>GETPIVOTDATA("Sum of "&amp;T(Transactions!$J$19),Pivot!$A$3,"Customer",C30)</f>
        <v>483.13129984629609</v>
      </c>
      <c r="E30" s="64">
        <f>GETPIVOTDATA("Sum of "&amp;T(Transactions!$K$19),Pivot!$A$3,"Customer",C30)</f>
        <v>323.7</v>
      </c>
      <c r="F30" s="64">
        <f t="shared" si="1"/>
        <v>159.4312998462961</v>
      </c>
      <c r="G30" s="53">
        <f>+GETPIVOTDATA("Sum of "&amp;T(Transactions!$M$19),Pivot!$A$3,"Customer","OG&amp;E")</f>
        <v>8.0114934189448039</v>
      </c>
      <c r="H30" s="53">
        <f>GETPIVOTDATA("Sum of "&amp;T(Transactions!$Q$19),Pivot!$A$3,"Customer",C30)</f>
        <v>0</v>
      </c>
      <c r="I30" s="65">
        <f t="shared" si="0"/>
        <v>167.44279326524091</v>
      </c>
      <c r="K30" s="68"/>
      <c r="L30" s="62"/>
    </row>
    <row r="31" spans="2:19" x14ac:dyDescent="0.25">
      <c r="B31" s="62"/>
      <c r="C31" s="63" t="s">
        <v>8</v>
      </c>
      <c r="D31" s="64">
        <f>GETPIVOTDATA("Sum of "&amp;T(Transactions!$J$19),Pivot!$A$3,"Customer",C31)</f>
        <v>1244.6936901662609</v>
      </c>
      <c r="E31" s="64">
        <f>GETPIVOTDATA("Sum of "&amp;T(Transactions!$K$19),Pivot!$A$3,"Customer",C31)</f>
        <v>833.95</v>
      </c>
      <c r="F31" s="64">
        <f t="shared" si="1"/>
        <v>410.74369016626088</v>
      </c>
      <c r="G31" s="53">
        <f>+GETPIVOTDATA("Sum of "&amp;T(Transactions!$M$19),Pivot!$A$3,"Customer","OMPA")</f>
        <v>20.640052322301571</v>
      </c>
      <c r="H31" s="53">
        <f>GETPIVOTDATA("Sum of "&amp;T(Transactions!$Q$19),Pivot!$A$3,"Customer",C31)</f>
        <v>0</v>
      </c>
      <c r="I31" s="65">
        <f t="shared" si="0"/>
        <v>431.38374248856246</v>
      </c>
      <c r="K31" s="68"/>
      <c r="L31" s="62"/>
    </row>
    <row r="32" spans="2:19" x14ac:dyDescent="0.25">
      <c r="B32" s="62"/>
      <c r="C32" s="63" t="s">
        <v>57</v>
      </c>
      <c r="D32" s="64">
        <f>GETPIVOTDATA("Sum of "&amp;T(Transactions!$J$19),Pivot!$A$3,"Customer",C32)</f>
        <v>136.79018730587902</v>
      </c>
      <c r="E32" s="64">
        <f>GETPIVOTDATA("Sum of "&amp;T(Transactions!$K$19),Pivot!$A$3,"Customer",C32)</f>
        <v>91.649999999999991</v>
      </c>
      <c r="F32" s="64">
        <f t="shared" si="1"/>
        <v>45.140187305879024</v>
      </c>
      <c r="G32" s="53">
        <f>+GETPIVOTDATA("Sum of "&amp;T(Transactions!$M$19),Pivot!$A$3,"Customer","Prescott, AR")</f>
        <v>2.2683144017494321</v>
      </c>
      <c r="H32" s="53">
        <f>GETPIVOTDATA("Sum of "&amp;T(Transactions!$Q$19),Pivot!$A$3,"Customer",C32)</f>
        <v>0</v>
      </c>
      <c r="I32" s="65">
        <f t="shared" si="0"/>
        <v>47.40850170762846</v>
      </c>
      <c r="K32" s="68"/>
      <c r="L32" s="62"/>
    </row>
    <row r="33" spans="2:12" x14ac:dyDescent="0.25">
      <c r="B33" s="62"/>
      <c r="C33" s="71" t="s">
        <v>9</v>
      </c>
      <c r="D33" s="64">
        <f>GETPIVOTDATA("Sum of "&amp;T(Transactions!$J$19),Pivot!$A$3,"Customer",C33)</f>
        <v>438.50471391671857</v>
      </c>
      <c r="E33" s="64">
        <f>GETPIVOTDATA("Sum of "&amp;T(Transactions!$K$19),Pivot!$A$3,"Customer",C33)</f>
        <v>293.79999999999995</v>
      </c>
      <c r="F33" s="64">
        <f t="shared" si="1"/>
        <v>144.70471391671862</v>
      </c>
      <c r="G33" s="53">
        <f>+GETPIVOTDATA("Sum of "&amp;T(Transactions!$M$19),Pivot!$A$3,"Customer","WFEC")</f>
        <v>7.271475954544278</v>
      </c>
      <c r="H33" s="53">
        <f>GETPIVOTDATA("Sum of "&amp;T(Transactions!$Q$19),Pivot!$A$3,"Customer",C33)</f>
        <v>0</v>
      </c>
      <c r="I33" s="65">
        <f t="shared" si="0"/>
        <v>151.9761898712629</v>
      </c>
      <c r="K33" s="68"/>
      <c r="L33" s="62"/>
    </row>
    <row r="34" spans="2:12" ht="23" x14ac:dyDescent="0.25">
      <c r="C34" s="72" t="s">
        <v>44</v>
      </c>
      <c r="D34" s="73">
        <f t="shared" ref="D34:I34" si="2">SUM(D21:D33)</f>
        <v>25562.3024490965</v>
      </c>
      <c r="E34" s="73">
        <f t="shared" si="2"/>
        <v>17126.850000000002</v>
      </c>
      <c r="F34" s="73">
        <f t="shared" si="2"/>
        <v>8435.4524490964977</v>
      </c>
      <c r="G34" s="74">
        <f t="shared" si="2"/>
        <v>423.88522107585663</v>
      </c>
      <c r="H34" s="74">
        <f t="shared" si="2"/>
        <v>0</v>
      </c>
      <c r="I34" s="75">
        <f t="shared" si="2"/>
        <v>8859.3376701723519</v>
      </c>
      <c r="K34" s="68"/>
    </row>
    <row r="35" spans="2:12" x14ac:dyDescent="0.25">
      <c r="C35" s="76" t="s">
        <v>21</v>
      </c>
      <c r="D35" s="64">
        <f>GETPIVOTDATA("Sum of "&amp;T(Transactions!$J$19),Pivot!$A$3,"Customer",C35)</f>
        <v>36733.50107907661</v>
      </c>
      <c r="E35" s="64">
        <f>GETPIVOTDATA("Sum of "&amp;T(Transactions!$K$19),Pivot!$A$3,"Customer",C35)</f>
        <v>24611.599999999999</v>
      </c>
      <c r="F35" s="64">
        <f t="shared" si="1"/>
        <v>12121.901079076611</v>
      </c>
      <c r="G35" s="53">
        <f>+GETPIVOTDATA("Sum of "&amp;T(Transactions!$M$19),Pivot!$A$3,"Customer","PSO")</f>
        <v>609.13089721872689</v>
      </c>
      <c r="H35" s="53">
        <f>GETPIVOTDATA("Sum of "&amp;T(Transactions!$Q$19),Pivot!$A$3,"Customer",C35)</f>
        <v>0</v>
      </c>
      <c r="I35" s="65">
        <f>F35+G35-H35</f>
        <v>12731.031976295339</v>
      </c>
      <c r="J35" s="62"/>
      <c r="K35" s="68"/>
    </row>
    <row r="36" spans="2:12" x14ac:dyDescent="0.25">
      <c r="C36" s="77" t="s">
        <v>22</v>
      </c>
      <c r="D36" s="64">
        <f>GETPIVOTDATA("Sum of "&amp;T(Transactions!$J$19),Pivot!$A$3,"Customer",C36)</f>
        <v>36273.653215367493</v>
      </c>
      <c r="E36" s="64">
        <f>GETPIVOTDATA("Sum of "&amp;T(Transactions!$K$19),Pivot!$A$3,"Customer",C36)</f>
        <v>24303.5</v>
      </c>
      <c r="F36" s="64">
        <f>D36-E36</f>
        <v>11970.153215367493</v>
      </c>
      <c r="G36" s="53">
        <f>+GETPIVOTDATA("Sum of "&amp;T(Transactions!$M$19),Pivot!$A$3,"Customer","SWEPCO")</f>
        <v>601.50549986816509</v>
      </c>
      <c r="H36" s="53">
        <f>GETPIVOTDATA("Sum of "&amp;T(Transactions!$Q$19),Pivot!$A$3,"Customer",C36)</f>
        <v>0</v>
      </c>
      <c r="I36" s="65">
        <f>F36+G36-H36</f>
        <v>12571.658715235657</v>
      </c>
      <c r="J36" s="62"/>
      <c r="K36" s="68"/>
    </row>
    <row r="37" spans="2:12" x14ac:dyDescent="0.25">
      <c r="C37" s="78" t="s">
        <v>83</v>
      </c>
      <c r="D37" s="64">
        <f>GETPIVOTDATA("Sum of "&amp;T(Transactions!$J$19),Pivot!$A$3,"Customer",C37)</f>
        <v>1566.7812233971249</v>
      </c>
      <c r="E37" s="64">
        <f>GETPIVOTDATA("Sum of "&amp;T(Transactions!$K$19),Pivot!$A$3,"Customer",C37)</f>
        <v>1049.75</v>
      </c>
      <c r="F37" s="64">
        <f>D37-E37</f>
        <v>517.0312233971249</v>
      </c>
      <c r="G37" s="53">
        <f>+GETPIVOTDATA("Sum of "&amp;T(Transactions!$M$19),Pivot!$A$3,"Customer","SWEPCO-Valley")</f>
        <v>25.981047934931439</v>
      </c>
      <c r="H37" s="53">
        <f>GETPIVOTDATA("Sum of "&amp;T(Transactions!$Q$19),Pivot!$A$3,"Customer",C37)</f>
        <v>0</v>
      </c>
      <c r="I37" s="65">
        <f>F37+G37-H37</f>
        <v>543.01227133205634</v>
      </c>
      <c r="K37" s="68"/>
    </row>
    <row r="38" spans="2:12" ht="23" x14ac:dyDescent="0.25">
      <c r="C38" s="79" t="s">
        <v>53</v>
      </c>
      <c r="D38" s="80">
        <f t="shared" ref="D38:I38" si="3">SUM(D35:D37)</f>
        <v>74573.935517841222</v>
      </c>
      <c r="E38" s="80">
        <f t="shared" si="3"/>
        <v>49964.85</v>
      </c>
      <c r="F38" s="80">
        <f t="shared" si="3"/>
        <v>24609.085517841228</v>
      </c>
      <c r="G38" s="81">
        <f t="shared" si="3"/>
        <v>1236.6174450218234</v>
      </c>
      <c r="H38" s="81">
        <f t="shared" si="3"/>
        <v>0</v>
      </c>
      <c r="I38" s="82">
        <f t="shared" si="3"/>
        <v>25845.702962863052</v>
      </c>
      <c r="K38" s="68"/>
    </row>
    <row r="39" spans="2:12" ht="23.25" customHeight="1" thickBot="1" x14ac:dyDescent="0.3">
      <c r="C39" s="83" t="s">
        <v>45</v>
      </c>
      <c r="D39" s="84">
        <f t="shared" ref="D39:I39" si="4">SUM(D34,D38)</f>
        <v>100136.23796693773</v>
      </c>
      <c r="E39" s="85">
        <f t="shared" si="4"/>
        <v>67091.7</v>
      </c>
      <c r="F39" s="84">
        <f t="shared" si="4"/>
        <v>33044.537966937729</v>
      </c>
      <c r="G39" s="85">
        <f t="shared" si="4"/>
        <v>1660.50266609768</v>
      </c>
      <c r="H39" s="85">
        <f t="shared" si="4"/>
        <v>0</v>
      </c>
      <c r="I39" s="86">
        <f t="shared" si="4"/>
        <v>34705.040633035402</v>
      </c>
      <c r="K39" s="68"/>
    </row>
    <row r="40" spans="2:12" x14ac:dyDescent="0.25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zoomScale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7"/>
      <c r="B3" s="88"/>
      <c r="C3" s="89" t="s">
        <v>55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0"/>
    </row>
    <row r="4" spans="1:15" x14ac:dyDescent="0.25">
      <c r="A4" s="89" t="s">
        <v>0</v>
      </c>
      <c r="B4" s="89" t="s">
        <v>24</v>
      </c>
      <c r="C4" s="91">
        <v>43466</v>
      </c>
      <c r="D4" s="92">
        <v>43497</v>
      </c>
      <c r="E4" s="92">
        <v>43525</v>
      </c>
      <c r="F4" s="92">
        <v>43556</v>
      </c>
      <c r="G4" s="92">
        <v>43586</v>
      </c>
      <c r="H4" s="92">
        <v>43617</v>
      </c>
      <c r="I4" s="92">
        <v>43647</v>
      </c>
      <c r="J4" s="92">
        <v>43678</v>
      </c>
      <c r="K4" s="92">
        <v>43709</v>
      </c>
      <c r="L4" s="92">
        <v>43739</v>
      </c>
      <c r="M4" s="92">
        <v>43770</v>
      </c>
      <c r="N4" s="92">
        <v>43800</v>
      </c>
      <c r="O4" s="93" t="s">
        <v>18</v>
      </c>
    </row>
    <row r="5" spans="1:15" x14ac:dyDescent="0.25">
      <c r="A5" s="87" t="s">
        <v>14</v>
      </c>
      <c r="B5" s="87" t="s">
        <v>72</v>
      </c>
      <c r="C5" s="94">
        <v>742.15952687232232</v>
      </c>
      <c r="D5" s="95">
        <v>798.42783087048531</v>
      </c>
      <c r="E5" s="95">
        <v>785.81596962951778</v>
      </c>
      <c r="F5" s="95">
        <v>473.42986812247489</v>
      </c>
      <c r="G5" s="95">
        <v>676.18979115033812</v>
      </c>
      <c r="H5" s="95">
        <v>780.96525376760712</v>
      </c>
      <c r="I5" s="95">
        <v>814.92026480098139</v>
      </c>
      <c r="J5" s="95">
        <v>863.42742342008739</v>
      </c>
      <c r="K5" s="95">
        <v>793.57711500857465</v>
      </c>
      <c r="L5" s="95">
        <v>736.33866783802955</v>
      </c>
      <c r="M5" s="95">
        <v>717.90594756276926</v>
      </c>
      <c r="N5" s="95">
        <v>729.54766563135479</v>
      </c>
      <c r="O5" s="96">
        <v>8912.7053246745418</v>
      </c>
    </row>
    <row r="6" spans="1:15" ht="13" x14ac:dyDescent="0.3">
      <c r="A6" s="229"/>
      <c r="B6" s="97" t="s">
        <v>25</v>
      </c>
      <c r="C6" s="233">
        <v>244.90952687232232</v>
      </c>
      <c r="D6" s="234">
        <v>263.47783087048526</v>
      </c>
      <c r="E6" s="234">
        <v>259.31596962951778</v>
      </c>
      <c r="F6" s="234">
        <v>156.2298681224749</v>
      </c>
      <c r="G6" s="234">
        <v>223.13979115033811</v>
      </c>
      <c r="H6" s="234">
        <v>257.71525376760712</v>
      </c>
      <c r="I6" s="234">
        <v>268.92026480098139</v>
      </c>
      <c r="J6" s="234">
        <v>284.92742342008739</v>
      </c>
      <c r="K6" s="234">
        <v>261.87711500857461</v>
      </c>
      <c r="L6" s="234">
        <v>242.98866783802953</v>
      </c>
      <c r="M6" s="234">
        <v>236.90594756276926</v>
      </c>
      <c r="N6" s="234">
        <v>240.74766563135478</v>
      </c>
      <c r="O6" s="235">
        <v>2941.155324674542</v>
      </c>
    </row>
    <row r="7" spans="1:15" ht="13" x14ac:dyDescent="0.3">
      <c r="A7" s="229"/>
      <c r="B7" s="97" t="s">
        <v>26</v>
      </c>
      <c r="C7" s="233">
        <v>12.306812179704366</v>
      </c>
      <c r="D7" s="234">
        <v>13.239877678296331</v>
      </c>
      <c r="E7" s="234">
        <v>13.030742307922271</v>
      </c>
      <c r="F7" s="234">
        <v>7.8506200571186016</v>
      </c>
      <c r="G7" s="234">
        <v>11.212873319286199</v>
      </c>
      <c r="H7" s="234">
        <v>12.950305627009168</v>
      </c>
      <c r="I7" s="234">
        <v>13.513362393400872</v>
      </c>
      <c r="J7" s="234">
        <v>14.317729202531876</v>
      </c>
      <c r="K7" s="234">
        <v>13.159440997383232</v>
      </c>
      <c r="L7" s="234">
        <v>12.210288162608645</v>
      </c>
      <c r="M7" s="234">
        <v>11.904628775138864</v>
      </c>
      <c r="N7" s="234">
        <v>12.097676809330304</v>
      </c>
      <c r="O7" s="235">
        <v>147.79435750973073</v>
      </c>
    </row>
    <row r="8" spans="1:15" ht="13" x14ac:dyDescent="0.3">
      <c r="A8" s="229"/>
      <c r="B8" s="97" t="s">
        <v>27</v>
      </c>
      <c r="C8" s="233">
        <v>257.21633905202668</v>
      </c>
      <c r="D8" s="234">
        <v>276.71770854878162</v>
      </c>
      <c r="E8" s="234">
        <v>272.34671193744003</v>
      </c>
      <c r="F8" s="234">
        <v>164.08048817959349</v>
      </c>
      <c r="G8" s="234">
        <v>234.3526644696243</v>
      </c>
      <c r="H8" s="234">
        <v>270.66555939461631</v>
      </c>
      <c r="I8" s="234">
        <v>282.43362719438227</v>
      </c>
      <c r="J8" s="234">
        <v>299.24515262261929</v>
      </c>
      <c r="K8" s="234">
        <v>275.03655600595783</v>
      </c>
      <c r="L8" s="234">
        <v>255.19895600063816</v>
      </c>
      <c r="M8" s="234">
        <v>248.81057633790812</v>
      </c>
      <c r="N8" s="234">
        <v>252.84534244068507</v>
      </c>
      <c r="O8" s="235">
        <v>3088.9496821842731</v>
      </c>
    </row>
    <row r="9" spans="1:15" x14ac:dyDescent="0.25">
      <c r="A9" s="229"/>
      <c r="B9" s="97" t="s">
        <v>51</v>
      </c>
      <c r="C9" s="98">
        <v>497.25</v>
      </c>
      <c r="D9" s="99">
        <v>534.95000000000005</v>
      </c>
      <c r="E9" s="99">
        <v>526.5</v>
      </c>
      <c r="F9" s="99">
        <v>317.2</v>
      </c>
      <c r="G9" s="99">
        <v>453.05</v>
      </c>
      <c r="H9" s="99">
        <v>523.25</v>
      </c>
      <c r="I9" s="99">
        <v>546</v>
      </c>
      <c r="J9" s="99">
        <v>578.5</v>
      </c>
      <c r="K9" s="99">
        <v>531.70000000000005</v>
      </c>
      <c r="L9" s="99">
        <v>493.35</v>
      </c>
      <c r="M9" s="99">
        <v>481</v>
      </c>
      <c r="N9" s="99">
        <v>488.8</v>
      </c>
      <c r="O9" s="100">
        <v>5971.5500000000011</v>
      </c>
    </row>
    <row r="10" spans="1:15" x14ac:dyDescent="0.25">
      <c r="A10" s="229"/>
      <c r="B10" s="97" t="s">
        <v>89</v>
      </c>
      <c r="C10" s="98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</row>
    <row r="11" spans="1:15" x14ac:dyDescent="0.25">
      <c r="A11" s="229"/>
      <c r="B11" s="97" t="s">
        <v>91</v>
      </c>
      <c r="C11" s="98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00">
        <v>0</v>
      </c>
    </row>
    <row r="12" spans="1:15" x14ac:dyDescent="0.25">
      <c r="A12" s="87" t="s">
        <v>17</v>
      </c>
      <c r="B12" s="87" t="s">
        <v>72</v>
      </c>
      <c r="C12" s="94">
        <v>100.89488992774055</v>
      </c>
      <c r="D12" s="95">
        <v>99.924746755358427</v>
      </c>
      <c r="E12" s="95">
        <v>101.86503310012267</v>
      </c>
      <c r="F12" s="95">
        <v>100.89488992774055</v>
      </c>
      <c r="G12" s="95">
        <v>102.8351762725048</v>
      </c>
      <c r="H12" s="95">
        <v>97.014317238212072</v>
      </c>
      <c r="I12" s="95">
        <v>113.50675116870812</v>
      </c>
      <c r="J12" s="95">
        <v>112.536607996326</v>
      </c>
      <c r="K12" s="95">
        <v>109.62617847917963</v>
      </c>
      <c r="L12" s="95">
        <v>109.62617847917963</v>
      </c>
      <c r="M12" s="95">
        <v>100.89488992774055</v>
      </c>
      <c r="N12" s="95">
        <v>39.775870067666951</v>
      </c>
      <c r="O12" s="96">
        <v>1189.3955293404799</v>
      </c>
    </row>
    <row r="13" spans="1:15" ht="13" x14ac:dyDescent="0.3">
      <c r="A13" s="229"/>
      <c r="B13" s="97" t="s">
        <v>25</v>
      </c>
      <c r="C13" s="233">
        <v>33.294889927740542</v>
      </c>
      <c r="D13" s="234">
        <v>32.974746755358424</v>
      </c>
      <c r="E13" s="234">
        <v>33.615033100122673</v>
      </c>
      <c r="F13" s="234">
        <v>33.294889927740542</v>
      </c>
      <c r="G13" s="234">
        <v>33.935176272504791</v>
      </c>
      <c r="H13" s="234">
        <v>32.014317238212072</v>
      </c>
      <c r="I13" s="234">
        <v>37.456751168708124</v>
      </c>
      <c r="J13" s="234">
        <v>37.136607996325992</v>
      </c>
      <c r="K13" s="234">
        <v>36.176178479179626</v>
      </c>
      <c r="L13" s="234">
        <v>36.176178479179626</v>
      </c>
      <c r="M13" s="234">
        <v>33.294889927740542</v>
      </c>
      <c r="N13" s="234">
        <v>13.125870067666948</v>
      </c>
      <c r="O13" s="235">
        <v>392.49552934047989</v>
      </c>
    </row>
    <row r="14" spans="1:15" ht="13" x14ac:dyDescent="0.3">
      <c r="A14" s="229"/>
      <c r="B14" s="97" t="s">
        <v>26</v>
      </c>
      <c r="C14" s="233">
        <v>1.673082962992489</v>
      </c>
      <c r="D14" s="234">
        <v>1.6569956268098689</v>
      </c>
      <c r="E14" s="234">
        <v>1.689170299175109</v>
      </c>
      <c r="F14" s="234">
        <v>1.673082962992489</v>
      </c>
      <c r="G14" s="234">
        <v>1.7052576353577291</v>
      </c>
      <c r="H14" s="234">
        <v>1.6087336182620087</v>
      </c>
      <c r="I14" s="234">
        <v>1.8822183333665499</v>
      </c>
      <c r="J14" s="234">
        <v>1.8661309971839302</v>
      </c>
      <c r="K14" s="234">
        <v>1.8178689886360695</v>
      </c>
      <c r="L14" s="234">
        <v>1.8178689886360695</v>
      </c>
      <c r="M14" s="234">
        <v>1.673082962992489</v>
      </c>
      <c r="N14" s="234">
        <v>0.65958078348742355</v>
      </c>
      <c r="O14" s="235">
        <v>19.723074159892224</v>
      </c>
    </row>
    <row r="15" spans="1:15" ht="13" x14ac:dyDescent="0.3">
      <c r="A15" s="229"/>
      <c r="B15" s="97" t="s">
        <v>27</v>
      </c>
      <c r="C15" s="233">
        <v>34.96797289073303</v>
      </c>
      <c r="D15" s="234">
        <v>34.631742382168291</v>
      </c>
      <c r="E15" s="234">
        <v>35.304203399297784</v>
      </c>
      <c r="F15" s="234">
        <v>34.96797289073303</v>
      </c>
      <c r="G15" s="234">
        <v>35.640433907862523</v>
      </c>
      <c r="H15" s="234">
        <v>33.62305085647408</v>
      </c>
      <c r="I15" s="234">
        <v>39.338969502074676</v>
      </c>
      <c r="J15" s="234">
        <v>39.002738993509922</v>
      </c>
      <c r="K15" s="234">
        <v>37.994047467815697</v>
      </c>
      <c r="L15" s="234">
        <v>37.994047467815697</v>
      </c>
      <c r="M15" s="234">
        <v>34.96797289073303</v>
      </c>
      <c r="N15" s="234">
        <v>13.785450851154373</v>
      </c>
      <c r="O15" s="235">
        <v>412.21860350037213</v>
      </c>
    </row>
    <row r="16" spans="1:15" x14ac:dyDescent="0.25">
      <c r="A16" s="229"/>
      <c r="B16" s="97" t="s">
        <v>51</v>
      </c>
      <c r="C16" s="98">
        <v>67.600000000000009</v>
      </c>
      <c r="D16" s="99">
        <v>66.95</v>
      </c>
      <c r="E16" s="99">
        <v>68.25</v>
      </c>
      <c r="F16" s="99">
        <v>67.600000000000009</v>
      </c>
      <c r="G16" s="99">
        <v>68.900000000000006</v>
      </c>
      <c r="H16" s="99">
        <v>65</v>
      </c>
      <c r="I16" s="99">
        <v>76.05</v>
      </c>
      <c r="J16" s="99">
        <v>75.400000000000006</v>
      </c>
      <c r="K16" s="99">
        <v>73.45</v>
      </c>
      <c r="L16" s="99">
        <v>73.45</v>
      </c>
      <c r="M16" s="99">
        <v>67.600000000000009</v>
      </c>
      <c r="N16" s="99">
        <v>26.650000000000002</v>
      </c>
      <c r="O16" s="100">
        <v>796.9000000000002</v>
      </c>
    </row>
    <row r="17" spans="1:15" x14ac:dyDescent="0.25">
      <c r="A17" s="229"/>
      <c r="B17" s="97" t="s">
        <v>89</v>
      </c>
      <c r="C17" s="98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100">
        <v>0</v>
      </c>
    </row>
    <row r="18" spans="1:15" x14ac:dyDescent="0.25">
      <c r="A18" s="229"/>
      <c r="B18" s="97" t="s">
        <v>91</v>
      </c>
      <c r="C18" s="98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100">
        <v>0</v>
      </c>
    </row>
    <row r="19" spans="1:15" x14ac:dyDescent="0.25">
      <c r="A19" s="87" t="s">
        <v>13</v>
      </c>
      <c r="B19" s="87" t="s">
        <v>72</v>
      </c>
      <c r="C19" s="94">
        <v>958.50145431353519</v>
      </c>
      <c r="D19" s="95">
        <v>922.60615693539671</v>
      </c>
      <c r="E19" s="95">
        <v>1023.5010468631373</v>
      </c>
      <c r="F19" s="95">
        <v>498.65359060441</v>
      </c>
      <c r="G19" s="95">
        <v>680.07036383986656</v>
      </c>
      <c r="H19" s="95">
        <v>797.4576876981032</v>
      </c>
      <c r="I19" s="95">
        <v>842.08427362768077</v>
      </c>
      <c r="J19" s="95">
        <v>905.14357983251853</v>
      </c>
      <c r="K19" s="95">
        <v>863.42742342008739</v>
      </c>
      <c r="L19" s="95">
        <v>774.17425156093225</v>
      </c>
      <c r="M19" s="95">
        <v>1018.6503310012267</v>
      </c>
      <c r="N19" s="95">
        <v>966.26259969259218</v>
      </c>
      <c r="O19" s="96">
        <v>10250.532759389487</v>
      </c>
    </row>
    <row r="20" spans="1:15" ht="13" x14ac:dyDescent="0.3">
      <c r="A20" s="229"/>
      <c r="B20" s="97" t="s">
        <v>25</v>
      </c>
      <c r="C20" s="233">
        <v>316.30145431353515</v>
      </c>
      <c r="D20" s="234">
        <v>304.45615693539673</v>
      </c>
      <c r="E20" s="234">
        <v>337.75104686313728</v>
      </c>
      <c r="F20" s="234">
        <v>164.55359060440998</v>
      </c>
      <c r="G20" s="234">
        <v>224.42036383986652</v>
      </c>
      <c r="H20" s="234">
        <v>263.15768769810313</v>
      </c>
      <c r="I20" s="234">
        <v>277.88427362768073</v>
      </c>
      <c r="J20" s="234">
        <v>298.69357983251848</v>
      </c>
      <c r="K20" s="234">
        <v>284.92742342008739</v>
      </c>
      <c r="L20" s="234">
        <v>255.4742515609322</v>
      </c>
      <c r="M20" s="234">
        <v>336.15033100122673</v>
      </c>
      <c r="N20" s="234">
        <v>318.8625996925922</v>
      </c>
      <c r="O20" s="235">
        <v>3382.6327593894866</v>
      </c>
    </row>
    <row r="21" spans="1:15" ht="13" x14ac:dyDescent="0.3">
      <c r="A21" s="229"/>
      <c r="B21" s="97" t="s">
        <v>26</v>
      </c>
      <c r="C21" s="233">
        <v>15.894288148428645</v>
      </c>
      <c r="D21" s="234">
        <v>15.299056709671703</v>
      </c>
      <c r="E21" s="234">
        <v>16.972139672664191</v>
      </c>
      <c r="F21" s="234">
        <v>8.2688907978667245</v>
      </c>
      <c r="G21" s="234">
        <v>11.27722266401668</v>
      </c>
      <c r="H21" s="234">
        <v>13.223790342113709</v>
      </c>
      <c r="I21" s="234">
        <v>13.963807806514236</v>
      </c>
      <c r="J21" s="234">
        <v>15.00948465838454</v>
      </c>
      <c r="K21" s="234">
        <v>14.317729202531876</v>
      </c>
      <c r="L21" s="234">
        <v>12.837694273730829</v>
      </c>
      <c r="M21" s="234">
        <v>16.891702991751089</v>
      </c>
      <c r="N21" s="234">
        <v>16.022986837889608</v>
      </c>
      <c r="O21" s="235">
        <v>169.97879410556385</v>
      </c>
    </row>
    <row r="22" spans="1:15" ht="13" x14ac:dyDescent="0.3">
      <c r="A22" s="229"/>
      <c r="B22" s="97" t="s">
        <v>27</v>
      </c>
      <c r="C22" s="233">
        <v>332.19574246196379</v>
      </c>
      <c r="D22" s="234">
        <v>319.75521364506847</v>
      </c>
      <c r="E22" s="234">
        <v>354.72318653580146</v>
      </c>
      <c r="F22" s="234">
        <v>172.82248140227671</v>
      </c>
      <c r="G22" s="234">
        <v>235.6975865038832</v>
      </c>
      <c r="H22" s="234">
        <v>276.38147804021685</v>
      </c>
      <c r="I22" s="234">
        <v>291.84808143419497</v>
      </c>
      <c r="J22" s="234">
        <v>313.70306449090305</v>
      </c>
      <c r="K22" s="234">
        <v>299.24515262261929</v>
      </c>
      <c r="L22" s="234">
        <v>268.31194583466305</v>
      </c>
      <c r="M22" s="234">
        <v>353.04203399297785</v>
      </c>
      <c r="N22" s="234">
        <v>334.88558653048182</v>
      </c>
      <c r="O22" s="235">
        <v>3552.6115534950504</v>
      </c>
    </row>
    <row r="23" spans="1:15" x14ac:dyDescent="0.25">
      <c r="A23" s="229"/>
      <c r="B23" s="97" t="s">
        <v>51</v>
      </c>
      <c r="C23" s="98">
        <v>642.20000000000005</v>
      </c>
      <c r="D23" s="99">
        <v>618.15</v>
      </c>
      <c r="E23" s="99">
        <v>685.75</v>
      </c>
      <c r="F23" s="99">
        <v>334.1</v>
      </c>
      <c r="G23" s="99">
        <v>455.65000000000003</v>
      </c>
      <c r="H23" s="99">
        <v>534.30000000000007</v>
      </c>
      <c r="I23" s="99">
        <v>564.20000000000005</v>
      </c>
      <c r="J23" s="99">
        <v>606.45000000000005</v>
      </c>
      <c r="K23" s="99">
        <v>578.5</v>
      </c>
      <c r="L23" s="99">
        <v>518.70000000000005</v>
      </c>
      <c r="M23" s="99">
        <v>682.5</v>
      </c>
      <c r="N23" s="99">
        <v>647.4</v>
      </c>
      <c r="O23" s="100">
        <v>6867.9</v>
      </c>
    </row>
    <row r="24" spans="1:15" x14ac:dyDescent="0.25">
      <c r="A24" s="229"/>
      <c r="B24" s="97" t="s">
        <v>89</v>
      </c>
      <c r="C24" s="98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00">
        <v>0</v>
      </c>
    </row>
    <row r="25" spans="1:15" x14ac:dyDescent="0.25">
      <c r="A25" s="229"/>
      <c r="B25" s="97" t="s">
        <v>91</v>
      </c>
      <c r="C25" s="98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100">
        <v>0</v>
      </c>
    </row>
    <row r="26" spans="1:15" x14ac:dyDescent="0.25">
      <c r="A26" s="87" t="s">
        <v>15</v>
      </c>
      <c r="B26" s="87" t="s">
        <v>72</v>
      </c>
      <c r="C26" s="94">
        <v>6.791002206674845</v>
      </c>
      <c r="D26" s="95">
        <v>7.7611453790569653</v>
      </c>
      <c r="E26" s="95">
        <v>5.8208590342927238</v>
      </c>
      <c r="F26" s="95">
        <v>4.8507158619106034</v>
      </c>
      <c r="G26" s="95">
        <v>3.8805726895284827</v>
      </c>
      <c r="H26" s="95">
        <v>6.791002206674845</v>
      </c>
      <c r="I26" s="95">
        <v>16.492433930496052</v>
      </c>
      <c r="J26" s="95">
        <v>16.492433930496052</v>
      </c>
      <c r="K26" s="95">
        <v>12.611861240967569</v>
      </c>
      <c r="L26" s="95">
        <v>4.8507158619106034</v>
      </c>
      <c r="M26" s="95">
        <v>6.791002206674845</v>
      </c>
      <c r="N26" s="95">
        <v>6.791002206674845</v>
      </c>
      <c r="O26" s="96">
        <v>99.924746755358427</v>
      </c>
    </row>
    <row r="27" spans="1:15" ht="13" x14ac:dyDescent="0.3">
      <c r="A27" s="229"/>
      <c r="B27" s="97" t="s">
        <v>25</v>
      </c>
      <c r="C27" s="233">
        <v>2.2410022066748452</v>
      </c>
      <c r="D27" s="234">
        <v>2.5611453790569652</v>
      </c>
      <c r="E27" s="234">
        <v>1.9208590342927234</v>
      </c>
      <c r="F27" s="234">
        <v>1.6007158619106034</v>
      </c>
      <c r="G27" s="234">
        <v>1.2805726895284826</v>
      </c>
      <c r="H27" s="234">
        <v>2.2410022066748452</v>
      </c>
      <c r="I27" s="234">
        <v>5.4424339304960512</v>
      </c>
      <c r="J27" s="234">
        <v>5.4424339304960512</v>
      </c>
      <c r="K27" s="234">
        <v>4.1618612409675677</v>
      </c>
      <c r="L27" s="234">
        <v>1.6007158619106034</v>
      </c>
      <c r="M27" s="234">
        <v>2.2410022066748452</v>
      </c>
      <c r="N27" s="234">
        <v>2.2410022066748452</v>
      </c>
      <c r="O27" s="235">
        <v>32.974746755358431</v>
      </c>
    </row>
    <row r="28" spans="1:15" ht="13" x14ac:dyDescent="0.3">
      <c r="A28" s="229"/>
      <c r="B28" s="97" t="s">
        <v>26</v>
      </c>
      <c r="C28" s="233">
        <v>0.11261135327834061</v>
      </c>
      <c r="D28" s="234">
        <v>0.12869868946096069</v>
      </c>
      <c r="E28" s="234">
        <v>9.6524017095720518E-2</v>
      </c>
      <c r="F28" s="234">
        <v>8.0436680913100425E-2</v>
      </c>
      <c r="G28" s="234">
        <v>6.4349344730480346E-2</v>
      </c>
      <c r="H28" s="234">
        <v>0.11261135327834061</v>
      </c>
      <c r="I28" s="234">
        <v>0.27348471510454148</v>
      </c>
      <c r="J28" s="234">
        <v>0.27348471510454148</v>
      </c>
      <c r="K28" s="234">
        <v>0.20913537037406113</v>
      </c>
      <c r="L28" s="234">
        <v>8.0436680913100425E-2</v>
      </c>
      <c r="M28" s="234">
        <v>0.11261135327834061</v>
      </c>
      <c r="N28" s="234">
        <v>0.11261135327834061</v>
      </c>
      <c r="O28" s="235">
        <v>1.6569956268098689</v>
      </c>
    </row>
    <row r="29" spans="1:15" ht="13" x14ac:dyDescent="0.3">
      <c r="A29" s="229"/>
      <c r="B29" s="97" t="s">
        <v>27</v>
      </c>
      <c r="C29" s="233">
        <v>2.3536135599531858</v>
      </c>
      <c r="D29" s="234">
        <v>2.6898440685179259</v>
      </c>
      <c r="E29" s="234">
        <v>2.0173830513884439</v>
      </c>
      <c r="F29" s="234">
        <v>1.681152542823704</v>
      </c>
      <c r="G29" s="234">
        <v>1.344922034258963</v>
      </c>
      <c r="H29" s="234">
        <v>2.3536135599531858</v>
      </c>
      <c r="I29" s="234">
        <v>5.7159186456005928</v>
      </c>
      <c r="J29" s="234">
        <v>5.7159186456005928</v>
      </c>
      <c r="K29" s="234">
        <v>4.3709966113416288</v>
      </c>
      <c r="L29" s="234">
        <v>1.681152542823704</v>
      </c>
      <c r="M29" s="234">
        <v>2.3536135599531858</v>
      </c>
      <c r="N29" s="234">
        <v>2.3536135599531858</v>
      </c>
      <c r="O29" s="235">
        <v>34.631742382168298</v>
      </c>
    </row>
    <row r="30" spans="1:15" x14ac:dyDescent="0.25">
      <c r="A30" s="229"/>
      <c r="B30" s="97" t="s">
        <v>51</v>
      </c>
      <c r="C30" s="98">
        <v>4.55</v>
      </c>
      <c r="D30" s="99">
        <v>5.2</v>
      </c>
      <c r="E30" s="99">
        <v>3.9000000000000004</v>
      </c>
      <c r="F30" s="99">
        <v>3.25</v>
      </c>
      <c r="G30" s="99">
        <v>2.6</v>
      </c>
      <c r="H30" s="99">
        <v>4.55</v>
      </c>
      <c r="I30" s="99">
        <v>11.05</v>
      </c>
      <c r="J30" s="99">
        <v>11.05</v>
      </c>
      <c r="K30" s="99">
        <v>8.4500000000000011</v>
      </c>
      <c r="L30" s="99">
        <v>3.25</v>
      </c>
      <c r="M30" s="99">
        <v>4.55</v>
      </c>
      <c r="N30" s="99">
        <v>4.55</v>
      </c>
      <c r="O30" s="100">
        <v>66.95</v>
      </c>
    </row>
    <row r="31" spans="1:15" x14ac:dyDescent="0.25">
      <c r="A31" s="229"/>
      <c r="B31" s="97" t="s">
        <v>89</v>
      </c>
      <c r="C31" s="98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100">
        <v>0</v>
      </c>
    </row>
    <row r="32" spans="1:15" x14ac:dyDescent="0.25">
      <c r="A32" s="229"/>
      <c r="B32" s="97" t="s">
        <v>91</v>
      </c>
      <c r="C32" s="98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100">
        <v>0</v>
      </c>
    </row>
    <row r="33" spans="1:15" x14ac:dyDescent="0.25">
      <c r="A33" s="87" t="s">
        <v>16</v>
      </c>
      <c r="B33" s="87" t="s">
        <v>72</v>
      </c>
      <c r="C33" s="94">
        <v>0.97014317238212067</v>
      </c>
      <c r="D33" s="95">
        <v>3.8805726895284827</v>
      </c>
      <c r="E33" s="95">
        <v>0.97014317238212067</v>
      </c>
      <c r="F33" s="95">
        <v>2.9104295171463619</v>
      </c>
      <c r="G33" s="95">
        <v>2.9104295171463619</v>
      </c>
      <c r="H33" s="95">
        <v>1.9402863447642413</v>
      </c>
      <c r="I33" s="95">
        <v>5.8208590342927238</v>
      </c>
      <c r="J33" s="95">
        <v>3.8805726895284827</v>
      </c>
      <c r="K33" s="95">
        <v>2.9104295171463619</v>
      </c>
      <c r="L33" s="95">
        <v>3.8805726895284827</v>
      </c>
      <c r="M33" s="95">
        <v>3.8805726895284827</v>
      </c>
      <c r="N33" s="95">
        <v>3.8805726895284827</v>
      </c>
      <c r="O33" s="96">
        <v>37.835583722902705</v>
      </c>
    </row>
    <row r="34" spans="1:15" ht="13" x14ac:dyDescent="0.3">
      <c r="A34" s="229"/>
      <c r="B34" s="97" t="s">
        <v>25</v>
      </c>
      <c r="C34" s="233">
        <v>0.32014317238212064</v>
      </c>
      <c r="D34" s="234">
        <v>1.2805726895284826</v>
      </c>
      <c r="E34" s="234">
        <v>0.32014317238212064</v>
      </c>
      <c r="F34" s="234">
        <v>0.96042951714636171</v>
      </c>
      <c r="G34" s="234">
        <v>0.96042951714636171</v>
      </c>
      <c r="H34" s="234">
        <v>0.64028634476424129</v>
      </c>
      <c r="I34" s="234">
        <v>1.9208590342927234</v>
      </c>
      <c r="J34" s="234">
        <v>1.2805726895284826</v>
      </c>
      <c r="K34" s="234">
        <v>0.96042951714636171</v>
      </c>
      <c r="L34" s="234">
        <v>1.2805726895284826</v>
      </c>
      <c r="M34" s="234">
        <v>1.2805726895284826</v>
      </c>
      <c r="N34" s="234">
        <v>1.2805726895284826</v>
      </c>
      <c r="O34" s="235">
        <v>12.485583722902707</v>
      </c>
    </row>
    <row r="35" spans="1:15" ht="13" x14ac:dyDescent="0.3">
      <c r="A35" s="229"/>
      <c r="B35" s="97" t="s">
        <v>26</v>
      </c>
      <c r="C35" s="233">
        <v>1.6087336182620086E-2</v>
      </c>
      <c r="D35" s="234">
        <v>6.4349344730480346E-2</v>
      </c>
      <c r="E35" s="234">
        <v>1.6087336182620086E-2</v>
      </c>
      <c r="F35" s="234">
        <v>4.8262008547860259E-2</v>
      </c>
      <c r="G35" s="234">
        <v>4.8262008547860259E-2</v>
      </c>
      <c r="H35" s="234">
        <v>3.2174672365240173E-2</v>
      </c>
      <c r="I35" s="234">
        <v>9.6524017095720518E-2</v>
      </c>
      <c r="J35" s="234">
        <v>6.4349344730480346E-2</v>
      </c>
      <c r="K35" s="234">
        <v>4.8262008547860259E-2</v>
      </c>
      <c r="L35" s="234">
        <v>6.4349344730480346E-2</v>
      </c>
      <c r="M35" s="234">
        <v>6.4349344730480346E-2</v>
      </c>
      <c r="N35" s="234">
        <v>6.4349344730480346E-2</v>
      </c>
      <c r="O35" s="235">
        <v>0.62740611112218336</v>
      </c>
    </row>
    <row r="36" spans="1:15" ht="13" x14ac:dyDescent="0.3">
      <c r="A36" s="229"/>
      <c r="B36" s="97" t="s">
        <v>27</v>
      </c>
      <c r="C36" s="233">
        <v>0.33623050856474074</v>
      </c>
      <c r="D36" s="234">
        <v>1.344922034258963</v>
      </c>
      <c r="E36" s="234">
        <v>0.33623050856474074</v>
      </c>
      <c r="F36" s="234">
        <v>1.0086915256942219</v>
      </c>
      <c r="G36" s="234">
        <v>1.0086915256942219</v>
      </c>
      <c r="H36" s="234">
        <v>0.67246101712948148</v>
      </c>
      <c r="I36" s="234">
        <v>2.0173830513884439</v>
      </c>
      <c r="J36" s="234">
        <v>1.344922034258963</v>
      </c>
      <c r="K36" s="234">
        <v>1.0086915256942219</v>
      </c>
      <c r="L36" s="234">
        <v>1.344922034258963</v>
      </c>
      <c r="M36" s="234">
        <v>1.344922034258963</v>
      </c>
      <c r="N36" s="234">
        <v>1.344922034258963</v>
      </c>
      <c r="O36" s="235">
        <v>13.112989834024884</v>
      </c>
    </row>
    <row r="37" spans="1:15" x14ac:dyDescent="0.25">
      <c r="A37" s="229"/>
      <c r="B37" s="97" t="s">
        <v>51</v>
      </c>
      <c r="C37" s="98">
        <v>0.65</v>
      </c>
      <c r="D37" s="99">
        <v>2.6</v>
      </c>
      <c r="E37" s="99">
        <v>0.65</v>
      </c>
      <c r="F37" s="99">
        <v>1.9500000000000002</v>
      </c>
      <c r="G37" s="99">
        <v>1.9500000000000002</v>
      </c>
      <c r="H37" s="99">
        <v>1.3</v>
      </c>
      <c r="I37" s="99">
        <v>3.9000000000000004</v>
      </c>
      <c r="J37" s="99">
        <v>2.6</v>
      </c>
      <c r="K37" s="99">
        <v>1.9500000000000002</v>
      </c>
      <c r="L37" s="99">
        <v>2.6</v>
      </c>
      <c r="M37" s="99">
        <v>2.6</v>
      </c>
      <c r="N37" s="99">
        <v>2.6</v>
      </c>
      <c r="O37" s="100">
        <v>25.350000000000005</v>
      </c>
    </row>
    <row r="38" spans="1:15" x14ac:dyDescent="0.25">
      <c r="A38" s="229"/>
      <c r="B38" s="97" t="s">
        <v>89</v>
      </c>
      <c r="C38" s="98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100">
        <v>0</v>
      </c>
    </row>
    <row r="39" spans="1:15" x14ac:dyDescent="0.25">
      <c r="A39" s="229"/>
      <c r="B39" s="97" t="s">
        <v>91</v>
      </c>
      <c r="C39" s="98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100">
        <v>0</v>
      </c>
    </row>
    <row r="40" spans="1:15" x14ac:dyDescent="0.25">
      <c r="A40" s="87" t="s">
        <v>19</v>
      </c>
      <c r="B40" s="87" t="s">
        <v>72</v>
      </c>
      <c r="C40" s="94">
        <v>41.716156412431189</v>
      </c>
      <c r="D40" s="95">
        <v>35.895297378138466</v>
      </c>
      <c r="E40" s="95">
        <v>38.805726895284828</v>
      </c>
      <c r="F40" s="95">
        <v>34.925154205756343</v>
      </c>
      <c r="G40" s="95">
        <v>39.775870067666951</v>
      </c>
      <c r="H40" s="95">
        <v>38.805726895284828</v>
      </c>
      <c r="I40" s="95">
        <v>44.626585929577551</v>
      </c>
      <c r="J40" s="95">
        <v>45.596729101959674</v>
      </c>
      <c r="K40" s="95">
        <v>43.656442757195428</v>
      </c>
      <c r="L40" s="95">
        <v>40.746013240049066</v>
      </c>
      <c r="M40" s="95">
        <v>41.716156412431189</v>
      </c>
      <c r="N40" s="95">
        <v>36.865440550520589</v>
      </c>
      <c r="O40" s="96">
        <v>483.13129984629609</v>
      </c>
    </row>
    <row r="41" spans="1:15" ht="13" x14ac:dyDescent="0.3">
      <c r="A41" s="229"/>
      <c r="B41" s="97" t="s">
        <v>25</v>
      </c>
      <c r="C41" s="233">
        <v>13.76615641243119</v>
      </c>
      <c r="D41" s="234">
        <v>11.845297378138465</v>
      </c>
      <c r="E41" s="234">
        <v>12.805726895284828</v>
      </c>
      <c r="F41" s="234">
        <v>11.525154205756341</v>
      </c>
      <c r="G41" s="234">
        <v>13.125870067666948</v>
      </c>
      <c r="H41" s="234">
        <v>12.805726895284828</v>
      </c>
      <c r="I41" s="234">
        <v>14.726585929577549</v>
      </c>
      <c r="J41" s="234">
        <v>15.046729101959674</v>
      </c>
      <c r="K41" s="234">
        <v>14.406442757195428</v>
      </c>
      <c r="L41" s="234">
        <v>13.446013240049066</v>
      </c>
      <c r="M41" s="234">
        <v>13.76615641243119</v>
      </c>
      <c r="N41" s="234">
        <v>12.165440550520589</v>
      </c>
      <c r="O41" s="235">
        <v>159.43129984629613</v>
      </c>
    </row>
    <row r="42" spans="1:15" ht="13" x14ac:dyDescent="0.3">
      <c r="A42" s="229"/>
      <c r="B42" s="97" t="s">
        <v>26</v>
      </c>
      <c r="C42" s="233">
        <v>0.69175545585266374</v>
      </c>
      <c r="D42" s="234">
        <v>0.59523143875694318</v>
      </c>
      <c r="E42" s="234">
        <v>0.6434934473048034</v>
      </c>
      <c r="F42" s="234">
        <v>0.57914410257432314</v>
      </c>
      <c r="G42" s="234">
        <v>0.65958078348742355</v>
      </c>
      <c r="H42" s="234">
        <v>0.6434934473048034</v>
      </c>
      <c r="I42" s="234">
        <v>0.74001746440052396</v>
      </c>
      <c r="J42" s="234">
        <v>0.756104800583144</v>
      </c>
      <c r="K42" s="234">
        <v>0.72393012821790381</v>
      </c>
      <c r="L42" s="234">
        <v>0.67566811967004359</v>
      </c>
      <c r="M42" s="234">
        <v>0.69175545585266374</v>
      </c>
      <c r="N42" s="234">
        <v>0.61131877493956333</v>
      </c>
      <c r="O42" s="235">
        <v>8.0114934189448039</v>
      </c>
    </row>
    <row r="43" spans="1:15" ht="13" x14ac:dyDescent="0.3">
      <c r="A43" s="229"/>
      <c r="B43" s="97" t="s">
        <v>27</v>
      </c>
      <c r="C43" s="233">
        <v>14.457911868283855</v>
      </c>
      <c r="D43" s="234">
        <v>12.440528816895409</v>
      </c>
      <c r="E43" s="234">
        <v>13.449220342589632</v>
      </c>
      <c r="F43" s="234">
        <v>12.104298308330664</v>
      </c>
      <c r="G43" s="234">
        <v>13.785450851154373</v>
      </c>
      <c r="H43" s="234">
        <v>13.449220342589632</v>
      </c>
      <c r="I43" s="234">
        <v>15.466603393978072</v>
      </c>
      <c r="J43" s="234">
        <v>15.802833902542817</v>
      </c>
      <c r="K43" s="234">
        <v>15.130372885413331</v>
      </c>
      <c r="L43" s="234">
        <v>14.121681359719108</v>
      </c>
      <c r="M43" s="234">
        <v>14.457911868283855</v>
      </c>
      <c r="N43" s="234">
        <v>12.776759325460153</v>
      </c>
      <c r="O43" s="235">
        <v>167.44279326524088</v>
      </c>
    </row>
    <row r="44" spans="1:15" x14ac:dyDescent="0.25">
      <c r="A44" s="229"/>
      <c r="B44" s="97" t="s">
        <v>51</v>
      </c>
      <c r="C44" s="98">
        <v>27.95</v>
      </c>
      <c r="D44" s="99">
        <v>24.05</v>
      </c>
      <c r="E44" s="99">
        <v>26</v>
      </c>
      <c r="F44" s="99">
        <v>23.400000000000002</v>
      </c>
      <c r="G44" s="99">
        <v>26.650000000000002</v>
      </c>
      <c r="H44" s="99">
        <v>26</v>
      </c>
      <c r="I44" s="99">
        <v>29.900000000000002</v>
      </c>
      <c r="J44" s="99">
        <v>30.55</v>
      </c>
      <c r="K44" s="99">
        <v>29.25</v>
      </c>
      <c r="L44" s="99">
        <v>27.3</v>
      </c>
      <c r="M44" s="99">
        <v>27.95</v>
      </c>
      <c r="N44" s="99">
        <v>24.7</v>
      </c>
      <c r="O44" s="100">
        <v>323.7</v>
      </c>
    </row>
    <row r="45" spans="1:15" x14ac:dyDescent="0.25">
      <c r="A45" s="229"/>
      <c r="B45" s="97" t="s">
        <v>89</v>
      </c>
      <c r="C45" s="98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100">
        <v>0</v>
      </c>
    </row>
    <row r="46" spans="1:15" x14ac:dyDescent="0.25">
      <c r="A46" s="229"/>
      <c r="B46" s="97" t="s">
        <v>91</v>
      </c>
      <c r="C46" s="98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100">
        <v>0</v>
      </c>
    </row>
    <row r="47" spans="1:15" x14ac:dyDescent="0.25">
      <c r="A47" s="87" t="s">
        <v>8</v>
      </c>
      <c r="B47" s="87" t="s">
        <v>72</v>
      </c>
      <c r="C47" s="94">
        <v>73.730881101041177</v>
      </c>
      <c r="D47" s="95">
        <v>82.462169652480256</v>
      </c>
      <c r="E47" s="95">
        <v>83.432312824862379</v>
      </c>
      <c r="F47" s="95">
        <v>75.671167445805409</v>
      </c>
      <c r="G47" s="95">
        <v>89.253171859155103</v>
      </c>
      <c r="H47" s="95">
        <v>133.87975778873266</v>
      </c>
      <c r="I47" s="95">
        <v>142.61104634017173</v>
      </c>
      <c r="J47" s="95">
        <v>151.34233489161082</v>
      </c>
      <c r="K47" s="95">
        <v>135.82004413349691</v>
      </c>
      <c r="L47" s="95">
        <v>121.26789654776508</v>
      </c>
      <c r="M47" s="95">
        <v>76.641310618187532</v>
      </c>
      <c r="N47" s="95">
        <v>78.581596962951778</v>
      </c>
      <c r="O47" s="96">
        <v>1244.6936901662609</v>
      </c>
    </row>
    <row r="48" spans="1:15" ht="13" x14ac:dyDescent="0.3">
      <c r="A48" s="229"/>
      <c r="B48" s="97" t="s">
        <v>25</v>
      </c>
      <c r="C48" s="233">
        <v>24.330881101041179</v>
      </c>
      <c r="D48" s="234">
        <v>27.212169652480256</v>
      </c>
      <c r="E48" s="234">
        <v>27.53231282486238</v>
      </c>
      <c r="F48" s="234">
        <v>24.971167445805406</v>
      </c>
      <c r="G48" s="234">
        <v>29.453171859155098</v>
      </c>
      <c r="H48" s="234">
        <v>44.179757788732658</v>
      </c>
      <c r="I48" s="234">
        <v>47.061046340171728</v>
      </c>
      <c r="J48" s="234">
        <v>49.942334891610813</v>
      </c>
      <c r="K48" s="234">
        <v>44.820044133496907</v>
      </c>
      <c r="L48" s="234">
        <v>40.017896547765076</v>
      </c>
      <c r="M48" s="234">
        <v>25.291310618187531</v>
      </c>
      <c r="N48" s="234">
        <v>25.93159696295178</v>
      </c>
      <c r="O48" s="235">
        <v>410.74369016626088</v>
      </c>
    </row>
    <row r="49" spans="1:15" ht="13" x14ac:dyDescent="0.3">
      <c r="A49" s="229"/>
      <c r="B49" s="97" t="s">
        <v>26</v>
      </c>
      <c r="C49" s="233">
        <v>1.2226375498791267</v>
      </c>
      <c r="D49" s="234">
        <v>1.3674235755227073</v>
      </c>
      <c r="E49" s="234">
        <v>1.3835109117053275</v>
      </c>
      <c r="F49" s="234">
        <v>1.2548122222443667</v>
      </c>
      <c r="G49" s="234">
        <v>1.4800349288010479</v>
      </c>
      <c r="H49" s="234">
        <v>2.2200523932015717</v>
      </c>
      <c r="I49" s="234">
        <v>2.3648384188451526</v>
      </c>
      <c r="J49" s="234">
        <v>2.5096244444887335</v>
      </c>
      <c r="K49" s="234">
        <v>2.252227065566812</v>
      </c>
      <c r="L49" s="234">
        <v>2.0109170228275111</v>
      </c>
      <c r="M49" s="234">
        <v>1.2708995584269867</v>
      </c>
      <c r="N49" s="234">
        <v>1.303074230792227</v>
      </c>
      <c r="O49" s="235">
        <v>20.640052322301571</v>
      </c>
    </row>
    <row r="50" spans="1:15" ht="13" x14ac:dyDescent="0.3">
      <c r="A50" s="229"/>
      <c r="B50" s="97" t="s">
        <v>27</v>
      </c>
      <c r="C50" s="233">
        <v>25.553518650920306</v>
      </c>
      <c r="D50" s="234">
        <v>28.579593228002963</v>
      </c>
      <c r="E50" s="234">
        <v>28.91582373656771</v>
      </c>
      <c r="F50" s="234">
        <v>26.225979668049774</v>
      </c>
      <c r="G50" s="234">
        <v>30.933206787956145</v>
      </c>
      <c r="H50" s="234">
        <v>46.399810181934228</v>
      </c>
      <c r="I50" s="234">
        <v>49.425884759016881</v>
      </c>
      <c r="J50" s="234">
        <v>52.451959336099549</v>
      </c>
      <c r="K50" s="234">
        <v>47.072271199063721</v>
      </c>
      <c r="L50" s="234">
        <v>42.02881357059259</v>
      </c>
      <c r="M50" s="234">
        <v>26.562210176614517</v>
      </c>
      <c r="N50" s="234">
        <v>27.234671193744006</v>
      </c>
      <c r="O50" s="235">
        <v>431.38374248856246</v>
      </c>
    </row>
    <row r="51" spans="1:15" x14ac:dyDescent="0.25">
      <c r="A51" s="229"/>
      <c r="B51" s="97" t="s">
        <v>51</v>
      </c>
      <c r="C51" s="98">
        <v>49.4</v>
      </c>
      <c r="D51" s="99">
        <v>55.25</v>
      </c>
      <c r="E51" s="99">
        <v>55.9</v>
      </c>
      <c r="F51" s="99">
        <v>50.7</v>
      </c>
      <c r="G51" s="99">
        <v>59.800000000000004</v>
      </c>
      <c r="H51" s="99">
        <v>89.7</v>
      </c>
      <c r="I51" s="99">
        <v>95.55</v>
      </c>
      <c r="J51" s="99">
        <v>101.4</v>
      </c>
      <c r="K51" s="99">
        <v>91</v>
      </c>
      <c r="L51" s="99">
        <v>81.25</v>
      </c>
      <c r="M51" s="99">
        <v>51.35</v>
      </c>
      <c r="N51" s="99">
        <v>52.65</v>
      </c>
      <c r="O51" s="100">
        <v>833.95</v>
      </c>
    </row>
    <row r="52" spans="1:15" x14ac:dyDescent="0.25">
      <c r="A52" s="229"/>
      <c r="B52" s="97" t="s">
        <v>89</v>
      </c>
      <c r="C52" s="98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100">
        <v>0</v>
      </c>
    </row>
    <row r="53" spans="1:15" x14ac:dyDescent="0.25">
      <c r="A53" s="229"/>
      <c r="B53" s="97" t="s">
        <v>91</v>
      </c>
      <c r="C53" s="98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100">
        <v>0</v>
      </c>
    </row>
    <row r="54" spans="1:15" x14ac:dyDescent="0.25">
      <c r="A54" s="87" t="s">
        <v>21</v>
      </c>
      <c r="B54" s="87" t="s">
        <v>72</v>
      </c>
      <c r="C54" s="94">
        <v>2484.536664470611</v>
      </c>
      <c r="D54" s="95">
        <v>2708.6397372908809</v>
      </c>
      <c r="E54" s="95">
        <v>2721.2515985318487</v>
      </c>
      <c r="F54" s="95">
        <v>2497.1485257115787</v>
      </c>
      <c r="G54" s="95">
        <v>2881.3252219748983</v>
      </c>
      <c r="H54" s="95">
        <v>3612.8131739510172</v>
      </c>
      <c r="I54" s="95">
        <v>3805.8716652550593</v>
      </c>
      <c r="J54" s="95">
        <v>3966.9154318704914</v>
      </c>
      <c r="K54" s="95">
        <v>3619.6041761576921</v>
      </c>
      <c r="L54" s="95">
        <v>3421.6949689917396</v>
      </c>
      <c r="M54" s="95">
        <v>2492.2978098496678</v>
      </c>
      <c r="N54" s="95">
        <v>2521.4021050211318</v>
      </c>
      <c r="O54" s="96">
        <v>36733.50107907661</v>
      </c>
    </row>
    <row r="55" spans="1:15" ht="13" x14ac:dyDescent="0.3">
      <c r="A55" s="229"/>
      <c r="B55" s="97" t="s">
        <v>25</v>
      </c>
      <c r="C55" s="233">
        <v>819.88666447061087</v>
      </c>
      <c r="D55" s="234">
        <v>893.83973729088098</v>
      </c>
      <c r="E55" s="234">
        <v>898.00159853184869</v>
      </c>
      <c r="F55" s="234">
        <v>824.04852571157858</v>
      </c>
      <c r="G55" s="234">
        <v>950.82522197489834</v>
      </c>
      <c r="H55" s="234">
        <v>1192.2131739510173</v>
      </c>
      <c r="I55" s="234">
        <v>1255.921665255059</v>
      </c>
      <c r="J55" s="234">
        <v>1309.0654318704915</v>
      </c>
      <c r="K55" s="234">
        <v>1194.454176157692</v>
      </c>
      <c r="L55" s="234">
        <v>1129.1449689917395</v>
      </c>
      <c r="M55" s="234">
        <v>822.44780984966769</v>
      </c>
      <c r="N55" s="234">
        <v>832.05210502113164</v>
      </c>
      <c r="O55" s="235">
        <v>12121.901079076613</v>
      </c>
    </row>
    <row r="56" spans="1:15" ht="13" x14ac:dyDescent="0.3">
      <c r="A56" s="229"/>
      <c r="B56" s="97" t="s">
        <v>26</v>
      </c>
      <c r="C56" s="233">
        <v>41.19966796369004</v>
      </c>
      <c r="D56" s="234">
        <v>44.915842621875278</v>
      </c>
      <c r="E56" s="234">
        <v>45.124977992249342</v>
      </c>
      <c r="F56" s="234">
        <v>41.408803334064103</v>
      </c>
      <c r="G56" s="234">
        <v>47.779388462381654</v>
      </c>
      <c r="H56" s="234">
        <v>59.9092399440772</v>
      </c>
      <c r="I56" s="234">
        <v>63.110619844418601</v>
      </c>
      <c r="J56" s="234">
        <v>65.781117650733535</v>
      </c>
      <c r="K56" s="234">
        <v>60.021851297355539</v>
      </c>
      <c r="L56" s="234">
        <v>56.740034716101043</v>
      </c>
      <c r="M56" s="234">
        <v>41.328366653151001</v>
      </c>
      <c r="N56" s="234">
        <v>41.810986738629602</v>
      </c>
      <c r="O56" s="235">
        <v>609.13089721872689</v>
      </c>
    </row>
    <row r="57" spans="1:15" ht="13" x14ac:dyDescent="0.3">
      <c r="A57" s="229"/>
      <c r="B57" s="97" t="s">
        <v>27</v>
      </c>
      <c r="C57" s="233">
        <v>861.08633243430086</v>
      </c>
      <c r="D57" s="234">
        <v>938.75557991275628</v>
      </c>
      <c r="E57" s="234">
        <v>943.12657652409803</v>
      </c>
      <c r="F57" s="234">
        <v>865.45732904564272</v>
      </c>
      <c r="G57" s="234">
        <v>998.60461043728003</v>
      </c>
      <c r="H57" s="234">
        <v>1252.1224138950945</v>
      </c>
      <c r="I57" s="234">
        <v>1319.0322850994776</v>
      </c>
      <c r="J57" s="234">
        <v>1374.8465495212249</v>
      </c>
      <c r="K57" s="234">
        <v>1254.4760274550476</v>
      </c>
      <c r="L57" s="234">
        <v>1185.8850037078405</v>
      </c>
      <c r="M57" s="234">
        <v>863.77617650281866</v>
      </c>
      <c r="N57" s="234">
        <v>873.86309175976123</v>
      </c>
      <c r="O57" s="235">
        <v>12731.031976295346</v>
      </c>
    </row>
    <row r="58" spans="1:15" x14ac:dyDescent="0.25">
      <c r="A58" s="229"/>
      <c r="B58" s="97" t="s">
        <v>51</v>
      </c>
      <c r="C58" s="98">
        <v>1664.65</v>
      </c>
      <c r="D58" s="99">
        <v>1814.8</v>
      </c>
      <c r="E58" s="99">
        <v>1823.25</v>
      </c>
      <c r="F58" s="99">
        <v>1673.1000000000001</v>
      </c>
      <c r="G58" s="99">
        <v>1930.5</v>
      </c>
      <c r="H58" s="99">
        <v>2420.6</v>
      </c>
      <c r="I58" s="99">
        <v>2549.9500000000003</v>
      </c>
      <c r="J58" s="99">
        <v>2657.85</v>
      </c>
      <c r="K58" s="99">
        <v>2425.15</v>
      </c>
      <c r="L58" s="99">
        <v>2292.5500000000002</v>
      </c>
      <c r="M58" s="99">
        <v>1669.8500000000001</v>
      </c>
      <c r="N58" s="99">
        <v>1689.3500000000001</v>
      </c>
      <c r="O58" s="100">
        <v>24611.599999999999</v>
      </c>
    </row>
    <row r="59" spans="1:15" x14ac:dyDescent="0.25">
      <c r="A59" s="229"/>
      <c r="B59" s="97" t="s">
        <v>89</v>
      </c>
      <c r="C59" s="98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100">
        <v>0</v>
      </c>
    </row>
    <row r="60" spans="1:15" x14ac:dyDescent="0.25">
      <c r="A60" s="229"/>
      <c r="B60" s="97" t="s">
        <v>91</v>
      </c>
      <c r="C60" s="98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100">
        <v>0</v>
      </c>
    </row>
    <row r="61" spans="1:15" x14ac:dyDescent="0.25">
      <c r="A61" s="87" t="s">
        <v>22</v>
      </c>
      <c r="B61" s="87" t="s">
        <v>72</v>
      </c>
      <c r="C61" s="94">
        <v>2907.5190876292158</v>
      </c>
      <c r="D61" s="95">
        <v>2804.6839113567107</v>
      </c>
      <c r="E61" s="95">
        <v>2883.2655083196628</v>
      </c>
      <c r="F61" s="95">
        <v>2375.8806291638134</v>
      </c>
      <c r="G61" s="95">
        <v>2960.8769621102324</v>
      </c>
      <c r="H61" s="95">
        <v>3261.6213455486895</v>
      </c>
      <c r="I61" s="95">
        <v>3353.7849469249913</v>
      </c>
      <c r="J61" s="95">
        <v>3554.6045836080903</v>
      </c>
      <c r="K61" s="95">
        <v>3370.2773808554871</v>
      </c>
      <c r="L61" s="95">
        <v>3202.4426120333801</v>
      </c>
      <c r="M61" s="95">
        <v>2844.459781424378</v>
      </c>
      <c r="N61" s="95">
        <v>2754.2364663928406</v>
      </c>
      <c r="O61" s="96">
        <v>36273.653215367493</v>
      </c>
    </row>
    <row r="62" spans="1:15" ht="13" x14ac:dyDescent="0.3">
      <c r="A62" s="229"/>
      <c r="B62" s="97" t="s">
        <v>25</v>
      </c>
      <c r="C62" s="233">
        <v>959.46908762921589</v>
      </c>
      <c r="D62" s="234">
        <v>925.53391135671063</v>
      </c>
      <c r="E62" s="234">
        <v>951.46550831966283</v>
      </c>
      <c r="F62" s="234">
        <v>784.03062916381327</v>
      </c>
      <c r="G62" s="234">
        <v>977.07696211023244</v>
      </c>
      <c r="H62" s="234">
        <v>1076.3213455486894</v>
      </c>
      <c r="I62" s="234">
        <v>1106.7349469249912</v>
      </c>
      <c r="J62" s="234">
        <v>1173.0045836080903</v>
      </c>
      <c r="K62" s="234">
        <v>1112.1773808554872</v>
      </c>
      <c r="L62" s="234">
        <v>1056.79261203338</v>
      </c>
      <c r="M62" s="234">
        <v>938.65978142437802</v>
      </c>
      <c r="N62" s="234">
        <v>908.88646639284048</v>
      </c>
      <c r="O62" s="235">
        <v>11970.153215367491</v>
      </c>
    </row>
    <row r="63" spans="1:15" ht="13" x14ac:dyDescent="0.3">
      <c r="A63" s="229"/>
      <c r="B63" s="97" t="s">
        <v>26</v>
      </c>
      <c r="C63" s="233">
        <v>48.213746539312396</v>
      </c>
      <c r="D63" s="234">
        <v>46.508488903954671</v>
      </c>
      <c r="E63" s="234">
        <v>47.811563134746898</v>
      </c>
      <c r="F63" s="234">
        <v>39.39788631123659</v>
      </c>
      <c r="G63" s="234">
        <v>49.098550029356502</v>
      </c>
      <c r="H63" s="234">
        <v>54.085624245968731</v>
      </c>
      <c r="I63" s="234">
        <v>55.613921183317629</v>
      </c>
      <c r="J63" s="234">
        <v>58.943999773119998</v>
      </c>
      <c r="K63" s="234">
        <v>55.88740589842218</v>
      </c>
      <c r="L63" s="234">
        <v>53.104296738828907</v>
      </c>
      <c r="M63" s="234">
        <v>47.168069687442092</v>
      </c>
      <c r="N63" s="234">
        <v>45.671947422458423</v>
      </c>
      <c r="O63" s="235">
        <v>601.50549986816509</v>
      </c>
    </row>
    <row r="64" spans="1:15" ht="13" x14ac:dyDescent="0.3">
      <c r="A64" s="229"/>
      <c r="B64" s="97" t="s">
        <v>27</v>
      </c>
      <c r="C64" s="233">
        <v>1007.6828341685283</v>
      </c>
      <c r="D64" s="234">
        <v>972.04240026066532</v>
      </c>
      <c r="E64" s="234">
        <v>999.27707145440968</v>
      </c>
      <c r="F64" s="234">
        <v>823.42851547504984</v>
      </c>
      <c r="G64" s="234">
        <v>1026.175512139589</v>
      </c>
      <c r="H64" s="234">
        <v>1130.4069697946582</v>
      </c>
      <c r="I64" s="234">
        <v>1162.3488681083088</v>
      </c>
      <c r="J64" s="234">
        <v>1231.9485833812103</v>
      </c>
      <c r="K64" s="234">
        <v>1168.0647867539094</v>
      </c>
      <c r="L64" s="234">
        <v>1109.8969087722089</v>
      </c>
      <c r="M64" s="234">
        <v>985.82785111182011</v>
      </c>
      <c r="N64" s="234">
        <v>954.55841381529888</v>
      </c>
      <c r="O64" s="235">
        <v>12571.658715235657</v>
      </c>
    </row>
    <row r="65" spans="1:15" x14ac:dyDescent="0.25">
      <c r="A65" s="229"/>
      <c r="B65" s="97" t="s">
        <v>51</v>
      </c>
      <c r="C65" s="98">
        <v>1948.05</v>
      </c>
      <c r="D65" s="99">
        <v>1879.15</v>
      </c>
      <c r="E65" s="99">
        <v>1931.8</v>
      </c>
      <c r="F65" s="99">
        <v>1591.8500000000001</v>
      </c>
      <c r="G65" s="99">
        <v>1983.8</v>
      </c>
      <c r="H65" s="99">
        <v>2185.3000000000002</v>
      </c>
      <c r="I65" s="99">
        <v>2247.0500000000002</v>
      </c>
      <c r="J65" s="99">
        <v>2381.6</v>
      </c>
      <c r="K65" s="99">
        <v>2258.1</v>
      </c>
      <c r="L65" s="99">
        <v>2145.65</v>
      </c>
      <c r="M65" s="99">
        <v>1905.8</v>
      </c>
      <c r="N65" s="99">
        <v>1845.3500000000001</v>
      </c>
      <c r="O65" s="100">
        <v>24303.5</v>
      </c>
    </row>
    <row r="66" spans="1:15" x14ac:dyDescent="0.25">
      <c r="A66" s="229"/>
      <c r="B66" s="97" t="s">
        <v>89</v>
      </c>
      <c r="C66" s="98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100">
        <v>0</v>
      </c>
    </row>
    <row r="67" spans="1:15" x14ac:dyDescent="0.25">
      <c r="A67" s="229"/>
      <c r="B67" s="97" t="s">
        <v>91</v>
      </c>
      <c r="C67" s="98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100">
        <v>0</v>
      </c>
    </row>
    <row r="68" spans="1:15" x14ac:dyDescent="0.25">
      <c r="A68" s="87" t="s">
        <v>9</v>
      </c>
      <c r="B68" s="87" t="s">
        <v>72</v>
      </c>
      <c r="C68" s="94">
        <v>38.805726895284828</v>
      </c>
      <c r="D68" s="95">
        <v>38.805726895284828</v>
      </c>
      <c r="E68" s="95">
        <v>41.716156412431189</v>
      </c>
      <c r="F68" s="95">
        <v>26.193865654317257</v>
      </c>
      <c r="G68" s="95">
        <v>32.014724688609981</v>
      </c>
      <c r="H68" s="95">
        <v>37.835583722902705</v>
      </c>
      <c r="I68" s="95">
        <v>37.835583722902705</v>
      </c>
      <c r="J68" s="95">
        <v>41.716156412431189</v>
      </c>
      <c r="K68" s="95">
        <v>38.805726895284828</v>
      </c>
      <c r="L68" s="95">
        <v>29.104295171463619</v>
      </c>
      <c r="M68" s="95">
        <v>35.895297378138466</v>
      </c>
      <c r="N68" s="95">
        <v>39.775870067666951</v>
      </c>
      <c r="O68" s="96">
        <v>438.50471391671857</v>
      </c>
    </row>
    <row r="69" spans="1:15" ht="13" x14ac:dyDescent="0.3">
      <c r="A69" s="229"/>
      <c r="B69" s="97" t="s">
        <v>25</v>
      </c>
      <c r="C69" s="233">
        <v>12.805726895284828</v>
      </c>
      <c r="D69" s="234">
        <v>12.805726895284828</v>
      </c>
      <c r="E69" s="234">
        <v>13.76615641243119</v>
      </c>
      <c r="F69" s="234">
        <v>8.6438656543172563</v>
      </c>
      <c r="G69" s="234">
        <v>10.564724688609981</v>
      </c>
      <c r="H69" s="234">
        <v>12.485583722902703</v>
      </c>
      <c r="I69" s="234">
        <v>12.485583722902703</v>
      </c>
      <c r="J69" s="234">
        <v>13.76615641243119</v>
      </c>
      <c r="K69" s="234">
        <v>12.805726895284828</v>
      </c>
      <c r="L69" s="234">
        <v>9.6042951714636189</v>
      </c>
      <c r="M69" s="234">
        <v>11.845297378138465</v>
      </c>
      <c r="N69" s="234">
        <v>13.125870067666948</v>
      </c>
      <c r="O69" s="235">
        <v>144.7047139167185</v>
      </c>
    </row>
    <row r="70" spans="1:15" ht="13" x14ac:dyDescent="0.3">
      <c r="A70" s="229"/>
      <c r="B70" s="97" t="s">
        <v>26</v>
      </c>
      <c r="C70" s="233">
        <v>0.6434934473048034</v>
      </c>
      <c r="D70" s="234">
        <v>0.6434934473048034</v>
      </c>
      <c r="E70" s="234">
        <v>0.69175545585266374</v>
      </c>
      <c r="F70" s="234">
        <v>0.43435807693074235</v>
      </c>
      <c r="G70" s="234">
        <v>0.53088209402646291</v>
      </c>
      <c r="H70" s="234">
        <v>0.62740611112218336</v>
      </c>
      <c r="I70" s="234">
        <v>0.62740611112218336</v>
      </c>
      <c r="J70" s="234">
        <v>0.69175545585266374</v>
      </c>
      <c r="K70" s="234">
        <v>0.6434934473048034</v>
      </c>
      <c r="L70" s="234">
        <v>0.48262008547860263</v>
      </c>
      <c r="M70" s="234">
        <v>0.59523143875694318</v>
      </c>
      <c r="N70" s="234">
        <v>0.65958078348742355</v>
      </c>
      <c r="O70" s="235">
        <v>7.271475954544278</v>
      </c>
    </row>
    <row r="71" spans="1:15" ht="13" x14ac:dyDescent="0.3">
      <c r="A71" s="229"/>
      <c r="B71" s="97" t="s">
        <v>27</v>
      </c>
      <c r="C71" s="233">
        <v>13.449220342589632</v>
      </c>
      <c r="D71" s="234">
        <v>13.449220342589632</v>
      </c>
      <c r="E71" s="234">
        <v>14.457911868283855</v>
      </c>
      <c r="F71" s="234">
        <v>9.0782237312479985</v>
      </c>
      <c r="G71" s="234">
        <v>11.095606782636445</v>
      </c>
      <c r="H71" s="234">
        <v>13.112989834024887</v>
      </c>
      <c r="I71" s="234">
        <v>13.112989834024887</v>
      </c>
      <c r="J71" s="234">
        <v>14.457911868283855</v>
      </c>
      <c r="K71" s="234">
        <v>13.449220342589632</v>
      </c>
      <c r="L71" s="234">
        <v>10.086915256942222</v>
      </c>
      <c r="M71" s="234">
        <v>12.440528816895409</v>
      </c>
      <c r="N71" s="234">
        <v>13.785450851154373</v>
      </c>
      <c r="O71" s="235">
        <v>151.97618987126282</v>
      </c>
    </row>
    <row r="72" spans="1:15" x14ac:dyDescent="0.25">
      <c r="A72" s="229"/>
      <c r="B72" s="97" t="s">
        <v>51</v>
      </c>
      <c r="C72" s="98">
        <v>26</v>
      </c>
      <c r="D72" s="99">
        <v>26</v>
      </c>
      <c r="E72" s="99">
        <v>27.95</v>
      </c>
      <c r="F72" s="99">
        <v>17.55</v>
      </c>
      <c r="G72" s="99">
        <v>21.45</v>
      </c>
      <c r="H72" s="99">
        <v>25.35</v>
      </c>
      <c r="I72" s="99">
        <v>25.35</v>
      </c>
      <c r="J72" s="99">
        <v>27.95</v>
      </c>
      <c r="K72" s="99">
        <v>26</v>
      </c>
      <c r="L72" s="99">
        <v>19.5</v>
      </c>
      <c r="M72" s="99">
        <v>24.05</v>
      </c>
      <c r="N72" s="99">
        <v>26.650000000000002</v>
      </c>
      <c r="O72" s="100">
        <v>293.79999999999995</v>
      </c>
    </row>
    <row r="73" spans="1:15" x14ac:dyDescent="0.25">
      <c r="A73" s="229"/>
      <c r="B73" s="97" t="s">
        <v>89</v>
      </c>
      <c r="C73" s="98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100">
        <v>0</v>
      </c>
    </row>
    <row r="74" spans="1:15" x14ac:dyDescent="0.25">
      <c r="A74" s="229"/>
      <c r="B74" s="97" t="s">
        <v>91</v>
      </c>
      <c r="C74" s="98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100">
        <v>0</v>
      </c>
    </row>
    <row r="75" spans="1:15" x14ac:dyDescent="0.25">
      <c r="A75" s="87" t="s">
        <v>56</v>
      </c>
      <c r="B75" s="87" t="s">
        <v>72</v>
      </c>
      <c r="C75" s="94">
        <v>104.77546261726903</v>
      </c>
      <c r="D75" s="95">
        <v>112.536607996326</v>
      </c>
      <c r="E75" s="95">
        <v>111.56646482394387</v>
      </c>
      <c r="F75" s="95">
        <v>93.13374454868358</v>
      </c>
      <c r="G75" s="95">
        <v>123.20818289252932</v>
      </c>
      <c r="H75" s="95">
        <v>138.73047365064326</v>
      </c>
      <c r="I75" s="95">
        <v>148.43190537446446</v>
      </c>
      <c r="J75" s="95">
        <v>157.16319392590356</v>
      </c>
      <c r="K75" s="95">
        <v>140.67075999540751</v>
      </c>
      <c r="L75" s="95">
        <v>129.99918509920417</v>
      </c>
      <c r="M75" s="95">
        <v>101.86503310012267</v>
      </c>
      <c r="N75" s="95">
        <v>102.8351762725048</v>
      </c>
      <c r="O75" s="96">
        <v>1464.9161902970025</v>
      </c>
    </row>
    <row r="76" spans="1:15" x14ac:dyDescent="0.25">
      <c r="A76" s="229"/>
      <c r="B76" s="97" t="s">
        <v>25</v>
      </c>
      <c r="C76" s="98">
        <v>34.575462617269025</v>
      </c>
      <c r="D76" s="99">
        <v>37.136607996325992</v>
      </c>
      <c r="E76" s="99">
        <v>36.816464823943875</v>
      </c>
      <c r="F76" s="99">
        <v>30.733744548683575</v>
      </c>
      <c r="G76" s="99">
        <v>40.658182892529325</v>
      </c>
      <c r="H76" s="99">
        <v>45.780473650643259</v>
      </c>
      <c r="I76" s="99">
        <v>48.981905374464461</v>
      </c>
      <c r="J76" s="99">
        <v>51.863193925903559</v>
      </c>
      <c r="K76" s="99">
        <v>46.420759995407508</v>
      </c>
      <c r="L76" s="99">
        <v>42.899185099204161</v>
      </c>
      <c r="M76" s="99">
        <v>33.615033100122673</v>
      </c>
      <c r="N76" s="99">
        <v>33.935176272504791</v>
      </c>
      <c r="O76" s="100">
        <v>483.41619029700223</v>
      </c>
    </row>
    <row r="77" spans="1:15" x14ac:dyDescent="0.25">
      <c r="A77" s="229"/>
      <c r="B77" s="97" t="s">
        <v>26</v>
      </c>
      <c r="C77" s="98">
        <v>1.7374323077229694</v>
      </c>
      <c r="D77" s="99">
        <v>1.8661309971839302</v>
      </c>
      <c r="E77" s="99">
        <v>1.85004366100131</v>
      </c>
      <c r="F77" s="99">
        <v>1.5443842735315283</v>
      </c>
      <c r="G77" s="99">
        <v>2.0430916951927509</v>
      </c>
      <c r="H77" s="99">
        <v>2.3004890741146724</v>
      </c>
      <c r="I77" s="99">
        <v>2.4613624359408734</v>
      </c>
      <c r="J77" s="99">
        <v>2.6061484615844539</v>
      </c>
      <c r="K77" s="99">
        <v>2.3326637464799127</v>
      </c>
      <c r="L77" s="99">
        <v>2.1557030484710915</v>
      </c>
      <c r="M77" s="99">
        <v>1.689170299175109</v>
      </c>
      <c r="N77" s="99">
        <v>1.7052576353577291</v>
      </c>
      <c r="O77" s="100">
        <v>24.291877635756332</v>
      </c>
    </row>
    <row r="78" spans="1:15" x14ac:dyDescent="0.25">
      <c r="A78" s="229"/>
      <c r="B78" s="97" t="s">
        <v>27</v>
      </c>
      <c r="C78" s="98">
        <v>36.312894924991994</v>
      </c>
      <c r="D78" s="99">
        <v>39.002738993509922</v>
      </c>
      <c r="E78" s="99">
        <v>38.666508484945183</v>
      </c>
      <c r="F78" s="99">
        <v>32.278128822215102</v>
      </c>
      <c r="G78" s="99">
        <v>42.701274587722075</v>
      </c>
      <c r="H78" s="99">
        <v>48.080962724757931</v>
      </c>
      <c r="I78" s="99">
        <v>51.443267810405331</v>
      </c>
      <c r="J78" s="99">
        <v>54.469342387488012</v>
      </c>
      <c r="K78" s="99">
        <v>48.753423741887417</v>
      </c>
      <c r="L78" s="99">
        <v>45.05488814767525</v>
      </c>
      <c r="M78" s="99">
        <v>35.304203399297784</v>
      </c>
      <c r="N78" s="99">
        <v>35.640433907862523</v>
      </c>
      <c r="O78" s="100">
        <v>507.70806793275858</v>
      </c>
    </row>
    <row r="79" spans="1:15" x14ac:dyDescent="0.25">
      <c r="A79" s="229"/>
      <c r="B79" s="97" t="s">
        <v>51</v>
      </c>
      <c r="C79" s="98">
        <v>70.2</v>
      </c>
      <c r="D79" s="99">
        <v>75.400000000000006</v>
      </c>
      <c r="E79" s="99">
        <v>74.75</v>
      </c>
      <c r="F79" s="99">
        <v>62.400000000000006</v>
      </c>
      <c r="G79" s="99">
        <v>82.55</v>
      </c>
      <c r="H79" s="99">
        <v>92.95</v>
      </c>
      <c r="I79" s="99">
        <v>99.45</v>
      </c>
      <c r="J79" s="99">
        <v>105.3</v>
      </c>
      <c r="K79" s="99">
        <v>94.25</v>
      </c>
      <c r="L79" s="99">
        <v>87.100000000000009</v>
      </c>
      <c r="M79" s="99">
        <v>68.25</v>
      </c>
      <c r="N79" s="99">
        <v>68.900000000000006</v>
      </c>
      <c r="O79" s="100">
        <v>981.5</v>
      </c>
    </row>
    <row r="80" spans="1:15" x14ac:dyDescent="0.25">
      <c r="A80" s="229"/>
      <c r="B80" s="97" t="s">
        <v>89</v>
      </c>
      <c r="C80" s="98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100">
        <v>0</v>
      </c>
    </row>
    <row r="81" spans="1:15" x14ac:dyDescent="0.25">
      <c r="A81" s="229"/>
      <c r="B81" s="97" t="s">
        <v>91</v>
      </c>
      <c r="C81" s="98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100">
        <v>0</v>
      </c>
    </row>
    <row r="82" spans="1:15" x14ac:dyDescent="0.25">
      <c r="A82" s="87" t="s">
        <v>57</v>
      </c>
      <c r="B82" s="87" t="s">
        <v>72</v>
      </c>
      <c r="C82" s="94">
        <v>10.671574896203328</v>
      </c>
      <c r="D82" s="95">
        <v>8.7312885514390857</v>
      </c>
      <c r="E82" s="95">
        <v>11.641718068585448</v>
      </c>
      <c r="F82" s="95">
        <v>9.7014317238212069</v>
      </c>
      <c r="G82" s="95">
        <v>12.611861240967569</v>
      </c>
      <c r="H82" s="95">
        <v>11.641718068585448</v>
      </c>
      <c r="I82" s="95">
        <v>13.58200441334969</v>
      </c>
      <c r="J82" s="95">
        <v>15.522290758113931</v>
      </c>
      <c r="K82" s="95">
        <v>12.611861240967569</v>
      </c>
      <c r="L82" s="95">
        <v>11.641718068585448</v>
      </c>
      <c r="M82" s="95">
        <v>8.7312885514390857</v>
      </c>
      <c r="N82" s="95">
        <v>9.7014317238212069</v>
      </c>
      <c r="O82" s="96">
        <v>136.79018730587902</v>
      </c>
    </row>
    <row r="83" spans="1:15" x14ac:dyDescent="0.25">
      <c r="A83" s="229"/>
      <c r="B83" s="97" t="s">
        <v>25</v>
      </c>
      <c r="C83" s="98">
        <v>3.5215748962033278</v>
      </c>
      <c r="D83" s="99">
        <v>2.8812885514390851</v>
      </c>
      <c r="E83" s="99">
        <v>3.8417180685854468</v>
      </c>
      <c r="F83" s="99">
        <v>3.2014317238212069</v>
      </c>
      <c r="G83" s="99">
        <v>4.1618612409675677</v>
      </c>
      <c r="H83" s="99">
        <v>3.8417180685854468</v>
      </c>
      <c r="I83" s="99">
        <v>4.4820044133496904</v>
      </c>
      <c r="J83" s="99">
        <v>5.1222907581139303</v>
      </c>
      <c r="K83" s="99">
        <v>4.1618612409675677</v>
      </c>
      <c r="L83" s="99">
        <v>3.8417180685854468</v>
      </c>
      <c r="M83" s="99">
        <v>2.8812885514390851</v>
      </c>
      <c r="N83" s="99">
        <v>3.2014317238212069</v>
      </c>
      <c r="O83" s="100">
        <v>45.140187305879017</v>
      </c>
    </row>
    <row r="84" spans="1:15" x14ac:dyDescent="0.25">
      <c r="A84" s="229"/>
      <c r="B84" s="97" t="s">
        <v>26</v>
      </c>
      <c r="C84" s="98">
        <v>0.17696069800882094</v>
      </c>
      <c r="D84" s="99">
        <v>0.14478602564358078</v>
      </c>
      <c r="E84" s="99">
        <v>0.19304803419144104</v>
      </c>
      <c r="F84" s="99">
        <v>0.16087336182620085</v>
      </c>
      <c r="G84" s="99">
        <v>0.20913537037406113</v>
      </c>
      <c r="H84" s="99">
        <v>0.19304803419144104</v>
      </c>
      <c r="I84" s="99">
        <v>0.22522270655668122</v>
      </c>
      <c r="J84" s="99">
        <v>0.25739737892192138</v>
      </c>
      <c r="K84" s="99">
        <v>0.20913537037406113</v>
      </c>
      <c r="L84" s="99">
        <v>0.19304803419144104</v>
      </c>
      <c r="M84" s="99">
        <v>0.14478602564358078</v>
      </c>
      <c r="N84" s="99">
        <v>0.16087336182620085</v>
      </c>
      <c r="O84" s="100">
        <v>2.2683144017494321</v>
      </c>
    </row>
    <row r="85" spans="1:15" x14ac:dyDescent="0.25">
      <c r="A85" s="229"/>
      <c r="B85" s="97" t="s">
        <v>27</v>
      </c>
      <c r="C85" s="98">
        <v>3.6985355942121485</v>
      </c>
      <c r="D85" s="99">
        <v>3.026074577082666</v>
      </c>
      <c r="E85" s="99">
        <v>4.0347661027768877</v>
      </c>
      <c r="F85" s="99">
        <v>3.3623050856474079</v>
      </c>
      <c r="G85" s="99">
        <v>4.3709966113416288</v>
      </c>
      <c r="H85" s="99">
        <v>4.0347661027768877</v>
      </c>
      <c r="I85" s="99">
        <v>4.7072271199063715</v>
      </c>
      <c r="J85" s="99">
        <v>5.3796881370358518</v>
      </c>
      <c r="K85" s="99">
        <v>4.3709966113416288</v>
      </c>
      <c r="L85" s="99">
        <v>4.0347661027768877</v>
      </c>
      <c r="M85" s="99">
        <v>3.026074577082666</v>
      </c>
      <c r="N85" s="99">
        <v>3.3623050856474079</v>
      </c>
      <c r="O85" s="100">
        <v>47.408501707628439</v>
      </c>
    </row>
    <row r="86" spans="1:15" x14ac:dyDescent="0.25">
      <c r="A86" s="229"/>
      <c r="B86" s="97" t="s">
        <v>51</v>
      </c>
      <c r="C86" s="98">
        <v>7.15</v>
      </c>
      <c r="D86" s="99">
        <v>5.8500000000000005</v>
      </c>
      <c r="E86" s="99">
        <v>7.8000000000000007</v>
      </c>
      <c r="F86" s="99">
        <v>6.5</v>
      </c>
      <c r="G86" s="99">
        <v>8.4500000000000011</v>
      </c>
      <c r="H86" s="99">
        <v>7.8000000000000007</v>
      </c>
      <c r="I86" s="99">
        <v>9.1</v>
      </c>
      <c r="J86" s="99">
        <v>10.4</v>
      </c>
      <c r="K86" s="99">
        <v>8.4500000000000011</v>
      </c>
      <c r="L86" s="99">
        <v>7.8000000000000007</v>
      </c>
      <c r="M86" s="99">
        <v>5.8500000000000005</v>
      </c>
      <c r="N86" s="99">
        <v>6.5</v>
      </c>
      <c r="O86" s="100">
        <v>91.649999999999991</v>
      </c>
    </row>
    <row r="87" spans="1:15" x14ac:dyDescent="0.25">
      <c r="A87" s="229"/>
      <c r="B87" s="97" t="s">
        <v>89</v>
      </c>
      <c r="C87" s="98">
        <v>0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100">
        <v>0</v>
      </c>
    </row>
    <row r="88" spans="1:15" x14ac:dyDescent="0.25">
      <c r="A88" s="229"/>
      <c r="B88" s="97" t="s">
        <v>91</v>
      </c>
      <c r="C88" s="98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100">
        <v>0</v>
      </c>
    </row>
    <row r="89" spans="1:15" x14ac:dyDescent="0.25">
      <c r="A89" s="87" t="s">
        <v>58</v>
      </c>
      <c r="B89" s="87" t="s">
        <v>72</v>
      </c>
      <c r="C89" s="94">
        <v>21.343149792406656</v>
      </c>
      <c r="D89" s="95">
        <v>19.402863447642414</v>
      </c>
      <c r="E89" s="95">
        <v>20.373006620024533</v>
      </c>
      <c r="F89" s="95">
        <v>20.373006620024533</v>
      </c>
      <c r="G89" s="95">
        <v>29.104295171463619</v>
      </c>
      <c r="H89" s="95">
        <v>31.044581516227861</v>
      </c>
      <c r="I89" s="95">
        <v>32.014724688609981</v>
      </c>
      <c r="J89" s="95">
        <v>34.925154205756343</v>
      </c>
      <c r="K89" s="95">
        <v>32.984867860992104</v>
      </c>
      <c r="L89" s="95">
        <v>32.984867860992104</v>
      </c>
      <c r="M89" s="95">
        <v>20.373006620024533</v>
      </c>
      <c r="N89" s="95">
        <v>20.373006620024533</v>
      </c>
      <c r="O89" s="96">
        <v>315.29653102418916</v>
      </c>
    </row>
    <row r="90" spans="1:15" x14ac:dyDescent="0.25">
      <c r="A90" s="229"/>
      <c r="B90" s="97" t="s">
        <v>25</v>
      </c>
      <c r="C90" s="98">
        <v>7.0431497924066555</v>
      </c>
      <c r="D90" s="99">
        <v>6.4028634476424138</v>
      </c>
      <c r="E90" s="99">
        <v>6.7230066200245329</v>
      </c>
      <c r="F90" s="99">
        <v>6.7230066200245329</v>
      </c>
      <c r="G90" s="99">
        <v>9.6042951714636189</v>
      </c>
      <c r="H90" s="99">
        <v>10.244581516227861</v>
      </c>
      <c r="I90" s="99">
        <v>10.564724688609981</v>
      </c>
      <c r="J90" s="99">
        <v>11.525154205756341</v>
      </c>
      <c r="K90" s="99">
        <v>10.884867860992102</v>
      </c>
      <c r="L90" s="99">
        <v>10.884867860992102</v>
      </c>
      <c r="M90" s="99">
        <v>6.7230066200245329</v>
      </c>
      <c r="N90" s="99">
        <v>6.7230066200245329</v>
      </c>
      <c r="O90" s="100">
        <v>104.04653102418921</v>
      </c>
    </row>
    <row r="91" spans="1:15" x14ac:dyDescent="0.25">
      <c r="A91" s="229"/>
      <c r="B91" s="97" t="s">
        <v>26</v>
      </c>
      <c r="C91" s="98">
        <v>0.35392139601764189</v>
      </c>
      <c r="D91" s="99">
        <v>0.3217467236524017</v>
      </c>
      <c r="E91" s="99">
        <v>0.33783405983502179</v>
      </c>
      <c r="F91" s="99">
        <v>0.33783405983502179</v>
      </c>
      <c r="G91" s="99">
        <v>0.48262008547860263</v>
      </c>
      <c r="H91" s="99">
        <v>0.51479475784384277</v>
      </c>
      <c r="I91" s="99">
        <v>0.53088209402646291</v>
      </c>
      <c r="J91" s="99">
        <v>0.57914410257432314</v>
      </c>
      <c r="K91" s="99">
        <v>0.54696943020908295</v>
      </c>
      <c r="L91" s="99">
        <v>0.54696943020908295</v>
      </c>
      <c r="M91" s="99">
        <v>0.33783405983502179</v>
      </c>
      <c r="N91" s="99">
        <v>0.33783405983502179</v>
      </c>
      <c r="O91" s="100">
        <v>5.2283842593515288</v>
      </c>
    </row>
    <row r="92" spans="1:15" x14ac:dyDescent="0.25">
      <c r="A92" s="229"/>
      <c r="B92" s="97" t="s">
        <v>27</v>
      </c>
      <c r="C92" s="98">
        <v>7.397071188424297</v>
      </c>
      <c r="D92" s="99">
        <v>6.7246101712948159</v>
      </c>
      <c r="E92" s="99">
        <v>7.0608406798595542</v>
      </c>
      <c r="F92" s="99">
        <v>7.0608406798595542</v>
      </c>
      <c r="G92" s="99">
        <v>10.086915256942222</v>
      </c>
      <c r="H92" s="99">
        <v>10.759376274071704</v>
      </c>
      <c r="I92" s="99">
        <v>11.095606782636445</v>
      </c>
      <c r="J92" s="99">
        <v>12.104298308330664</v>
      </c>
      <c r="K92" s="99">
        <v>11.431837291201186</v>
      </c>
      <c r="L92" s="99">
        <v>11.431837291201186</v>
      </c>
      <c r="M92" s="99">
        <v>7.0608406798595542</v>
      </c>
      <c r="N92" s="99">
        <v>7.0608406798595542</v>
      </c>
      <c r="O92" s="100">
        <v>109.27491528354074</v>
      </c>
    </row>
    <row r="93" spans="1:15" x14ac:dyDescent="0.25">
      <c r="A93" s="229"/>
      <c r="B93" s="97" t="s">
        <v>51</v>
      </c>
      <c r="C93" s="98">
        <v>14.3</v>
      </c>
      <c r="D93" s="99">
        <v>13</v>
      </c>
      <c r="E93" s="99">
        <v>13.65</v>
      </c>
      <c r="F93" s="99">
        <v>13.65</v>
      </c>
      <c r="G93" s="99">
        <v>19.5</v>
      </c>
      <c r="H93" s="99">
        <v>20.8</v>
      </c>
      <c r="I93" s="99">
        <v>21.45</v>
      </c>
      <c r="J93" s="99">
        <v>23.400000000000002</v>
      </c>
      <c r="K93" s="99">
        <v>22.1</v>
      </c>
      <c r="L93" s="99">
        <v>22.1</v>
      </c>
      <c r="M93" s="99">
        <v>13.65</v>
      </c>
      <c r="N93" s="99">
        <v>13.65</v>
      </c>
      <c r="O93" s="100">
        <v>211.25</v>
      </c>
    </row>
    <row r="94" spans="1:15" x14ac:dyDescent="0.25">
      <c r="A94" s="229"/>
      <c r="B94" s="97" t="s">
        <v>89</v>
      </c>
      <c r="C94" s="98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100">
        <v>0</v>
      </c>
    </row>
    <row r="95" spans="1:15" x14ac:dyDescent="0.25">
      <c r="A95" s="229"/>
      <c r="B95" s="97" t="s">
        <v>91</v>
      </c>
      <c r="C95" s="98">
        <v>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100">
        <v>0</v>
      </c>
    </row>
    <row r="96" spans="1:15" x14ac:dyDescent="0.25">
      <c r="A96" s="87" t="s">
        <v>59</v>
      </c>
      <c r="B96" s="87" t="s">
        <v>72</v>
      </c>
      <c r="C96" s="94">
        <v>41.716156412431189</v>
      </c>
      <c r="D96" s="95">
        <v>40.746013240049066</v>
      </c>
      <c r="E96" s="95">
        <v>40.746013240049066</v>
      </c>
      <c r="F96" s="95">
        <v>37.835583722902705</v>
      </c>
      <c r="G96" s="95">
        <v>47.537015446723913</v>
      </c>
      <c r="H96" s="95">
        <v>50.447444963870275</v>
      </c>
      <c r="I96" s="95">
        <v>51.417588136252398</v>
      </c>
      <c r="J96" s="95">
        <v>51.417588136252398</v>
      </c>
      <c r="K96" s="95">
        <v>47.537015446723913</v>
      </c>
      <c r="L96" s="95">
        <v>47.537015446723913</v>
      </c>
      <c r="M96" s="95">
        <v>33.955011033374227</v>
      </c>
      <c r="N96" s="95">
        <v>33.955011033374227</v>
      </c>
      <c r="O96" s="96">
        <v>524.84745625872722</v>
      </c>
    </row>
    <row r="97" spans="1:15" x14ac:dyDescent="0.25">
      <c r="A97" s="229"/>
      <c r="B97" s="97" t="s">
        <v>25</v>
      </c>
      <c r="C97" s="98">
        <v>13.76615641243119</v>
      </c>
      <c r="D97" s="99">
        <v>13.446013240049066</v>
      </c>
      <c r="E97" s="99">
        <v>13.446013240049066</v>
      </c>
      <c r="F97" s="99">
        <v>12.485583722902703</v>
      </c>
      <c r="G97" s="99">
        <v>15.687015446723912</v>
      </c>
      <c r="H97" s="99">
        <v>16.647444963870271</v>
      </c>
      <c r="I97" s="99">
        <v>16.967588136252395</v>
      </c>
      <c r="J97" s="99">
        <v>16.967588136252395</v>
      </c>
      <c r="K97" s="99">
        <v>15.687015446723912</v>
      </c>
      <c r="L97" s="99">
        <v>15.687015446723912</v>
      </c>
      <c r="M97" s="99">
        <v>11.205011033374227</v>
      </c>
      <c r="N97" s="99">
        <v>11.205011033374227</v>
      </c>
      <c r="O97" s="100">
        <v>173.1974562587273</v>
      </c>
    </row>
    <row r="98" spans="1:15" x14ac:dyDescent="0.25">
      <c r="A98" s="229"/>
      <c r="B98" s="97" t="s">
        <v>26</v>
      </c>
      <c r="C98" s="98">
        <v>0.69175545585266374</v>
      </c>
      <c r="D98" s="99">
        <v>0.67566811967004359</v>
      </c>
      <c r="E98" s="99">
        <v>0.67566811967004359</v>
      </c>
      <c r="F98" s="99">
        <v>0.62740611112218336</v>
      </c>
      <c r="G98" s="99">
        <v>0.78827947294838419</v>
      </c>
      <c r="H98" s="99">
        <v>0.83654148149624452</v>
      </c>
      <c r="I98" s="99">
        <v>0.85262881767886456</v>
      </c>
      <c r="J98" s="99">
        <v>0.85262881767886456</v>
      </c>
      <c r="K98" s="99">
        <v>0.78827947294838419</v>
      </c>
      <c r="L98" s="99">
        <v>0.78827947294838419</v>
      </c>
      <c r="M98" s="99">
        <v>0.56305676639170299</v>
      </c>
      <c r="N98" s="99">
        <v>0.56305676639170299</v>
      </c>
      <c r="O98" s="100">
        <v>8.7032488747974668</v>
      </c>
    </row>
    <row r="99" spans="1:15" x14ac:dyDescent="0.25">
      <c r="A99" s="229"/>
      <c r="B99" s="97" t="s">
        <v>27</v>
      </c>
      <c r="C99" s="98">
        <v>14.457911868283855</v>
      </c>
      <c r="D99" s="99">
        <v>14.121681359719108</v>
      </c>
      <c r="E99" s="99">
        <v>14.121681359719108</v>
      </c>
      <c r="F99" s="99">
        <v>13.112989834024887</v>
      </c>
      <c r="G99" s="99">
        <v>16.475294919672297</v>
      </c>
      <c r="H99" s="99">
        <v>17.483986445366515</v>
      </c>
      <c r="I99" s="99">
        <v>17.820216953931261</v>
      </c>
      <c r="J99" s="99">
        <v>17.820216953931261</v>
      </c>
      <c r="K99" s="99">
        <v>16.475294919672297</v>
      </c>
      <c r="L99" s="99">
        <v>16.475294919672297</v>
      </c>
      <c r="M99" s="99">
        <v>11.76806779976593</v>
      </c>
      <c r="N99" s="99">
        <v>11.76806779976593</v>
      </c>
      <c r="O99" s="100">
        <v>181.90070513352475</v>
      </c>
    </row>
    <row r="100" spans="1:15" x14ac:dyDescent="0.25">
      <c r="A100" s="229"/>
      <c r="B100" s="97" t="s">
        <v>51</v>
      </c>
      <c r="C100" s="98">
        <v>27.95</v>
      </c>
      <c r="D100" s="99">
        <v>27.3</v>
      </c>
      <c r="E100" s="99">
        <v>27.3</v>
      </c>
      <c r="F100" s="99">
        <v>25.35</v>
      </c>
      <c r="G100" s="99">
        <v>31.85</v>
      </c>
      <c r="H100" s="99">
        <v>33.800000000000004</v>
      </c>
      <c r="I100" s="99">
        <v>34.450000000000003</v>
      </c>
      <c r="J100" s="99">
        <v>34.450000000000003</v>
      </c>
      <c r="K100" s="99">
        <v>31.85</v>
      </c>
      <c r="L100" s="99">
        <v>31.85</v>
      </c>
      <c r="M100" s="99">
        <v>22.75</v>
      </c>
      <c r="N100" s="99">
        <v>22.75</v>
      </c>
      <c r="O100" s="100">
        <v>351.65000000000003</v>
      </c>
    </row>
    <row r="101" spans="1:15" x14ac:dyDescent="0.25">
      <c r="A101" s="229"/>
      <c r="B101" s="97" t="s">
        <v>89</v>
      </c>
      <c r="C101" s="98">
        <v>0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100">
        <v>0</v>
      </c>
    </row>
    <row r="102" spans="1:15" x14ac:dyDescent="0.25">
      <c r="A102" s="229"/>
      <c r="B102" s="97" t="s">
        <v>91</v>
      </c>
      <c r="C102" s="98">
        <v>0</v>
      </c>
      <c r="D102" s="99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100">
        <v>0</v>
      </c>
    </row>
    <row r="103" spans="1:15" x14ac:dyDescent="0.25">
      <c r="A103" s="87" t="s">
        <v>83</v>
      </c>
      <c r="B103" s="87" t="s">
        <v>72</v>
      </c>
      <c r="C103" s="94">
        <v>152.31247806399296</v>
      </c>
      <c r="D103" s="95">
        <v>133.87975778873266</v>
      </c>
      <c r="E103" s="95">
        <v>148.43190537446446</v>
      </c>
      <c r="F103" s="95">
        <v>82.462169652480256</v>
      </c>
      <c r="G103" s="95">
        <v>111.56646482394387</v>
      </c>
      <c r="H103" s="95">
        <v>115.44703751347235</v>
      </c>
      <c r="I103" s="95">
        <v>131.93947144396842</v>
      </c>
      <c r="J103" s="95">
        <v>136.79018730587902</v>
      </c>
      <c r="K103" s="95">
        <v>132.90961461635052</v>
      </c>
      <c r="L103" s="95">
        <v>121.26789654776508</v>
      </c>
      <c r="M103" s="95">
        <v>152.31247806399296</v>
      </c>
      <c r="N103" s="95">
        <v>147.46176220208235</v>
      </c>
      <c r="O103" s="96">
        <v>1566.7812233971249</v>
      </c>
    </row>
    <row r="104" spans="1:15" x14ac:dyDescent="0.25">
      <c r="A104" s="229"/>
      <c r="B104" s="97" t="s">
        <v>25</v>
      </c>
      <c r="C104" s="98">
        <v>50.262478063992958</v>
      </c>
      <c r="D104" s="99">
        <v>44.179757788732658</v>
      </c>
      <c r="E104" s="99">
        <v>48.981905374464461</v>
      </c>
      <c r="F104" s="99">
        <v>27.212169652480256</v>
      </c>
      <c r="G104" s="99">
        <v>36.816464823943875</v>
      </c>
      <c r="H104" s="99">
        <v>38.097037513472344</v>
      </c>
      <c r="I104" s="99">
        <v>43.539471443968409</v>
      </c>
      <c r="J104" s="99">
        <v>45.14018730587901</v>
      </c>
      <c r="K104" s="99">
        <v>43.859614616350527</v>
      </c>
      <c r="L104" s="99">
        <v>40.017896547765076</v>
      </c>
      <c r="M104" s="99">
        <v>50.262478063992958</v>
      </c>
      <c r="N104" s="99">
        <v>48.661762202082357</v>
      </c>
      <c r="O104" s="100">
        <v>517.0312233971249</v>
      </c>
    </row>
    <row r="105" spans="1:15" x14ac:dyDescent="0.25">
      <c r="A105" s="229"/>
      <c r="B105" s="97" t="s">
        <v>26</v>
      </c>
      <c r="C105" s="98">
        <v>2.5257117806713536</v>
      </c>
      <c r="D105" s="99">
        <v>2.2200523932015717</v>
      </c>
      <c r="E105" s="99">
        <v>2.4613624359408734</v>
      </c>
      <c r="F105" s="99">
        <v>1.3674235755227073</v>
      </c>
      <c r="G105" s="99">
        <v>1.85004366100131</v>
      </c>
      <c r="H105" s="99">
        <v>1.9143930057317902</v>
      </c>
      <c r="I105" s="99">
        <v>2.1878777208363318</v>
      </c>
      <c r="J105" s="99">
        <v>2.2683144017494321</v>
      </c>
      <c r="K105" s="99">
        <v>2.203965057018952</v>
      </c>
      <c r="L105" s="99">
        <v>2.0109170228275111</v>
      </c>
      <c r="M105" s="99">
        <v>2.5257117806713536</v>
      </c>
      <c r="N105" s="99">
        <v>2.4452750997582533</v>
      </c>
      <c r="O105" s="100">
        <v>25.981047934931439</v>
      </c>
    </row>
    <row r="106" spans="1:15" x14ac:dyDescent="0.25">
      <c r="A106" s="229"/>
      <c r="B106" s="97" t="s">
        <v>27</v>
      </c>
      <c r="C106" s="98">
        <v>52.788189844664309</v>
      </c>
      <c r="D106" s="99">
        <v>46.399810181934228</v>
      </c>
      <c r="E106" s="99">
        <v>51.443267810405331</v>
      </c>
      <c r="F106" s="99">
        <v>28.579593228002963</v>
      </c>
      <c r="G106" s="99">
        <v>38.666508484945183</v>
      </c>
      <c r="H106" s="99">
        <v>40.011430519204133</v>
      </c>
      <c r="I106" s="99">
        <v>45.727349164804743</v>
      </c>
      <c r="J106" s="99">
        <v>47.408501707628446</v>
      </c>
      <c r="K106" s="99">
        <v>46.063579673369482</v>
      </c>
      <c r="L106" s="99">
        <v>42.02881357059259</v>
      </c>
      <c r="M106" s="99">
        <v>52.788189844664309</v>
      </c>
      <c r="N106" s="99">
        <v>51.107037301840613</v>
      </c>
      <c r="O106" s="100">
        <v>543.01227133205634</v>
      </c>
    </row>
    <row r="107" spans="1:15" x14ac:dyDescent="0.25">
      <c r="A107" s="229"/>
      <c r="B107" s="97" t="s">
        <v>51</v>
      </c>
      <c r="C107" s="98">
        <v>102.05</v>
      </c>
      <c r="D107" s="99">
        <v>89.7</v>
      </c>
      <c r="E107" s="99">
        <v>99.45</v>
      </c>
      <c r="F107" s="99">
        <v>55.25</v>
      </c>
      <c r="G107" s="99">
        <v>74.75</v>
      </c>
      <c r="H107" s="99">
        <v>77.350000000000009</v>
      </c>
      <c r="I107" s="99">
        <v>88.4</v>
      </c>
      <c r="J107" s="99">
        <v>91.65</v>
      </c>
      <c r="K107" s="99">
        <v>89.05</v>
      </c>
      <c r="L107" s="99">
        <v>81.25</v>
      </c>
      <c r="M107" s="99">
        <v>102.05</v>
      </c>
      <c r="N107" s="99">
        <v>98.8</v>
      </c>
      <c r="O107" s="100">
        <v>1049.75</v>
      </c>
    </row>
    <row r="108" spans="1:15" x14ac:dyDescent="0.25">
      <c r="A108" s="229"/>
      <c r="B108" s="97" t="s">
        <v>89</v>
      </c>
      <c r="C108" s="98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100">
        <v>0</v>
      </c>
    </row>
    <row r="109" spans="1:15" x14ac:dyDescent="0.25">
      <c r="A109" s="229"/>
      <c r="B109" s="97" t="s">
        <v>91</v>
      </c>
      <c r="C109" s="98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100">
        <v>0</v>
      </c>
    </row>
    <row r="110" spans="1:15" x14ac:dyDescent="0.25">
      <c r="A110" s="87" t="s">
        <v>85</v>
      </c>
      <c r="B110" s="87" t="s">
        <v>72</v>
      </c>
      <c r="C110" s="94">
        <v>36.865440550520589</v>
      </c>
      <c r="D110" s="95">
        <v>41.716156412431189</v>
      </c>
      <c r="E110" s="95">
        <v>43.656442757195428</v>
      </c>
      <c r="F110" s="95">
        <v>21.343149792406656</v>
      </c>
      <c r="G110" s="95">
        <v>30.074438343845742</v>
      </c>
      <c r="H110" s="95">
        <v>42.686299584813312</v>
      </c>
      <c r="I110" s="95">
        <v>45.596729101959674</v>
      </c>
      <c r="J110" s="95">
        <v>48.507158619106036</v>
      </c>
      <c r="K110" s="95">
        <v>43.656442757195428</v>
      </c>
      <c r="L110" s="95">
        <v>35.895297378138466</v>
      </c>
      <c r="M110" s="95">
        <v>36.865440550520589</v>
      </c>
      <c r="N110" s="95">
        <v>36.865440550520589</v>
      </c>
      <c r="O110" s="96">
        <v>463.72843639865374</v>
      </c>
    </row>
    <row r="111" spans="1:15" x14ac:dyDescent="0.25">
      <c r="A111" s="229"/>
      <c r="B111" s="97" t="s">
        <v>25</v>
      </c>
      <c r="C111" s="98">
        <v>12.165440550520589</v>
      </c>
      <c r="D111" s="99">
        <v>13.76615641243119</v>
      </c>
      <c r="E111" s="99">
        <v>14.406442757195428</v>
      </c>
      <c r="F111" s="99">
        <v>7.0431497924066555</v>
      </c>
      <c r="G111" s="99">
        <v>9.9244383438457398</v>
      </c>
      <c r="H111" s="99">
        <v>14.086299584813311</v>
      </c>
      <c r="I111" s="99">
        <v>15.046729101959674</v>
      </c>
      <c r="J111" s="99">
        <v>16.007158619106036</v>
      </c>
      <c r="K111" s="99">
        <v>14.406442757195428</v>
      </c>
      <c r="L111" s="99">
        <v>11.845297378138465</v>
      </c>
      <c r="M111" s="99">
        <v>12.165440550520589</v>
      </c>
      <c r="N111" s="99">
        <v>12.165440550520589</v>
      </c>
      <c r="O111" s="100">
        <v>153.02843639865372</v>
      </c>
    </row>
    <row r="112" spans="1:15" x14ac:dyDescent="0.25">
      <c r="A112" s="229"/>
      <c r="B112" s="97" t="s">
        <v>26</v>
      </c>
      <c r="C112" s="98">
        <v>0.61131877493956333</v>
      </c>
      <c r="D112" s="99">
        <v>0.69175545585266374</v>
      </c>
      <c r="E112" s="99">
        <v>0.72393012821790381</v>
      </c>
      <c r="F112" s="99">
        <v>0.35392139601764189</v>
      </c>
      <c r="G112" s="99">
        <v>0.49870742166122267</v>
      </c>
      <c r="H112" s="99">
        <v>0.70784279203528377</v>
      </c>
      <c r="I112" s="99">
        <v>0.756104800583144</v>
      </c>
      <c r="J112" s="99">
        <v>0.80436680913100433</v>
      </c>
      <c r="K112" s="99">
        <v>0.72393012821790381</v>
      </c>
      <c r="L112" s="99">
        <v>0.59523143875694318</v>
      </c>
      <c r="M112" s="99">
        <v>0.61131877493956333</v>
      </c>
      <c r="N112" s="99">
        <v>0.61131877493956333</v>
      </c>
      <c r="O112" s="100">
        <v>7.689746695292401</v>
      </c>
    </row>
    <row r="113" spans="1:15" x14ac:dyDescent="0.25">
      <c r="A113" s="229"/>
      <c r="B113" s="97" t="s">
        <v>27</v>
      </c>
      <c r="C113" s="98">
        <v>12.776759325460153</v>
      </c>
      <c r="D113" s="99">
        <v>14.457911868283855</v>
      </c>
      <c r="E113" s="99">
        <v>15.130372885413331</v>
      </c>
      <c r="F113" s="99">
        <v>7.397071188424297</v>
      </c>
      <c r="G113" s="99">
        <v>10.423145765506963</v>
      </c>
      <c r="H113" s="99">
        <v>14.794142376848594</v>
      </c>
      <c r="I113" s="99">
        <v>15.802833902542817</v>
      </c>
      <c r="J113" s="99">
        <v>16.81152542823704</v>
      </c>
      <c r="K113" s="99">
        <v>15.130372885413331</v>
      </c>
      <c r="L113" s="99">
        <v>12.440528816895409</v>
      </c>
      <c r="M113" s="99">
        <v>12.776759325460153</v>
      </c>
      <c r="N113" s="99">
        <v>12.776759325460153</v>
      </c>
      <c r="O113" s="100">
        <v>160.7181830939461</v>
      </c>
    </row>
    <row r="114" spans="1:15" x14ac:dyDescent="0.25">
      <c r="A114" s="229"/>
      <c r="B114" s="97" t="s">
        <v>51</v>
      </c>
      <c r="C114" s="98">
        <v>24.7</v>
      </c>
      <c r="D114" s="99">
        <v>27.95</v>
      </c>
      <c r="E114" s="99">
        <v>29.25</v>
      </c>
      <c r="F114" s="99">
        <v>14.3</v>
      </c>
      <c r="G114" s="99">
        <v>20.150000000000002</v>
      </c>
      <c r="H114" s="99">
        <v>28.6</v>
      </c>
      <c r="I114" s="99">
        <v>30.55</v>
      </c>
      <c r="J114" s="99">
        <v>32.5</v>
      </c>
      <c r="K114" s="99">
        <v>29.25</v>
      </c>
      <c r="L114" s="99">
        <v>24.05</v>
      </c>
      <c r="M114" s="99">
        <v>24.7</v>
      </c>
      <c r="N114" s="99">
        <v>24.7</v>
      </c>
      <c r="O114" s="100">
        <v>310.7</v>
      </c>
    </row>
    <row r="115" spans="1:15" x14ac:dyDescent="0.25">
      <c r="A115" s="229"/>
      <c r="B115" s="97" t="s">
        <v>89</v>
      </c>
      <c r="C115" s="98">
        <v>0</v>
      </c>
      <c r="D115" s="99"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100">
        <v>0</v>
      </c>
    </row>
    <row r="116" spans="1:15" x14ac:dyDescent="0.25">
      <c r="A116" s="229"/>
      <c r="B116" s="97" t="s">
        <v>91</v>
      </c>
      <c r="C116" s="98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100">
        <v>0</v>
      </c>
    </row>
    <row r="117" spans="1:15" x14ac:dyDescent="0.25">
      <c r="A117" s="87" t="s">
        <v>73</v>
      </c>
      <c r="B117" s="88"/>
      <c r="C117" s="94">
        <v>7723.3097953340621</v>
      </c>
      <c r="D117" s="95">
        <v>7860.0999826399411</v>
      </c>
      <c r="E117" s="95">
        <v>8062.8599056678049</v>
      </c>
      <c r="F117" s="95">
        <v>6355.4079222752716</v>
      </c>
      <c r="G117" s="95">
        <v>7823.2345420894208</v>
      </c>
      <c r="H117" s="95">
        <v>9159.1216904596004</v>
      </c>
      <c r="I117" s="95">
        <v>9600.5368338934622</v>
      </c>
      <c r="J117" s="95">
        <v>10105.981426704549</v>
      </c>
      <c r="K117" s="95">
        <v>9400.6873403827503</v>
      </c>
      <c r="L117" s="95">
        <v>8823.4521528153873</v>
      </c>
      <c r="M117" s="95">
        <v>7693.2353569902161</v>
      </c>
      <c r="N117" s="95">
        <v>7528.311017685256</v>
      </c>
      <c r="O117" s="96">
        <v>100136.2379669377</v>
      </c>
    </row>
    <row r="118" spans="1:15" ht="13" x14ac:dyDescent="0.3">
      <c r="A118" s="87" t="s">
        <v>28</v>
      </c>
      <c r="B118" s="88"/>
      <c r="C118" s="236">
        <v>2548.659795334062</v>
      </c>
      <c r="D118" s="237">
        <v>2593.7999826399414</v>
      </c>
      <c r="E118" s="237">
        <v>2660.7099056678048</v>
      </c>
      <c r="F118" s="237">
        <v>2097.257922275272</v>
      </c>
      <c r="G118" s="237">
        <v>2581.6345420894208</v>
      </c>
      <c r="H118" s="237">
        <v>3022.4716904596012</v>
      </c>
      <c r="I118" s="237">
        <v>3168.1368338934662</v>
      </c>
      <c r="J118" s="237">
        <v>3334.9314267045511</v>
      </c>
      <c r="K118" s="237">
        <v>3102.1873403827485</v>
      </c>
      <c r="L118" s="237">
        <v>2911.7021528153873</v>
      </c>
      <c r="M118" s="237">
        <v>2538.735356990217</v>
      </c>
      <c r="N118" s="237">
        <v>2484.311017685256</v>
      </c>
      <c r="O118" s="238">
        <v>33044.537966937722</v>
      </c>
    </row>
    <row r="119" spans="1:15" ht="13" x14ac:dyDescent="0.3">
      <c r="A119" s="87" t="s">
        <v>29</v>
      </c>
      <c r="B119" s="88"/>
      <c r="C119" s="236">
        <v>128.0712833498385</v>
      </c>
      <c r="D119" s="237">
        <v>130.33959775158797</v>
      </c>
      <c r="E119" s="237">
        <v>133.70185101375554</v>
      </c>
      <c r="F119" s="237">
        <v>105.3881393323442</v>
      </c>
      <c r="G119" s="237">
        <v>129.72827897664837</v>
      </c>
      <c r="H119" s="237">
        <v>151.88054090011624</v>
      </c>
      <c r="I119" s="237">
        <v>159.20027886320835</v>
      </c>
      <c r="J119" s="237">
        <v>167.58178101435345</v>
      </c>
      <c r="K119" s="237">
        <v>155.88628760958863</v>
      </c>
      <c r="L119" s="237">
        <v>146.31432258092966</v>
      </c>
      <c r="M119" s="237">
        <v>127.57257592817727</v>
      </c>
      <c r="N119" s="237">
        <v>124.83772877713184</v>
      </c>
      <c r="O119" s="238">
        <v>1660.50266609768</v>
      </c>
    </row>
    <row r="120" spans="1:15" ht="13" x14ac:dyDescent="0.3">
      <c r="A120" s="87" t="s">
        <v>30</v>
      </c>
      <c r="B120" s="88"/>
      <c r="C120" s="236">
        <v>2676.7310786839016</v>
      </c>
      <c r="D120" s="237">
        <v>2724.1395803915293</v>
      </c>
      <c r="E120" s="237">
        <v>2794.4117566815607</v>
      </c>
      <c r="F120" s="237">
        <v>2202.6460616076165</v>
      </c>
      <c r="G120" s="237">
        <v>2711.362821066069</v>
      </c>
      <c r="H120" s="237">
        <v>3174.3522313597168</v>
      </c>
      <c r="I120" s="237">
        <v>3327.3371127566743</v>
      </c>
      <c r="J120" s="237">
        <v>3502.5132077189046</v>
      </c>
      <c r="K120" s="237">
        <v>3258.0736279923376</v>
      </c>
      <c r="L120" s="237">
        <v>3058.0164753963168</v>
      </c>
      <c r="M120" s="237">
        <v>2666.3079329183943</v>
      </c>
      <c r="N120" s="237">
        <v>2609.1487464623888</v>
      </c>
      <c r="O120" s="238">
        <v>34705.040633035409</v>
      </c>
    </row>
    <row r="121" spans="1:15" x14ac:dyDescent="0.25">
      <c r="A121" s="87" t="s">
        <v>63</v>
      </c>
      <c r="B121" s="88"/>
      <c r="C121" s="94">
        <v>5174.6499999999996</v>
      </c>
      <c r="D121" s="95">
        <v>5266.3</v>
      </c>
      <c r="E121" s="95">
        <v>5402.15</v>
      </c>
      <c r="F121" s="95">
        <v>4258.1500000000005</v>
      </c>
      <c r="G121" s="95">
        <v>5241.6000000000004</v>
      </c>
      <c r="H121" s="95">
        <v>6136.6500000000015</v>
      </c>
      <c r="I121" s="95">
        <v>6432.4000000000005</v>
      </c>
      <c r="J121" s="95">
        <v>6771.0499999999984</v>
      </c>
      <c r="K121" s="95">
        <v>6298.5000000000009</v>
      </c>
      <c r="L121" s="95">
        <v>5911.7500000000018</v>
      </c>
      <c r="M121" s="95">
        <v>5154.5</v>
      </c>
      <c r="N121" s="95">
        <v>5043.9999999999991</v>
      </c>
      <c r="O121" s="96">
        <v>67091.7</v>
      </c>
    </row>
    <row r="122" spans="1:15" x14ac:dyDescent="0.25">
      <c r="A122" s="87" t="s">
        <v>90</v>
      </c>
      <c r="B122" s="88"/>
      <c r="C122" s="94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6">
        <v>0</v>
      </c>
    </row>
    <row r="123" spans="1:15" x14ac:dyDescent="0.25">
      <c r="A123" s="101" t="s">
        <v>92</v>
      </c>
      <c r="B123" s="230"/>
      <c r="C123" s="102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4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Normal="100" zoomScaleSheetLayoutView="100" workbookViewId="0">
      <selection activeCell="M15" sqref="M15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53" customWidth="1"/>
    <col min="5" max="5" width="24.26953125" style="1" customWidth="1"/>
    <col min="6" max="6" width="7.7265625" style="153" customWidth="1"/>
    <col min="7" max="7" width="6.7265625" style="153" customWidth="1"/>
    <col min="8" max="8" width="11.1796875" style="153" bestFit="1" customWidth="1"/>
    <col min="9" max="9" width="11.26953125" style="154" customWidth="1"/>
    <col min="10" max="10" width="13.7265625" style="153" customWidth="1"/>
    <col min="11" max="11" width="13.54296875" style="155" customWidth="1"/>
    <col min="12" max="12" width="14.7265625" style="153" customWidth="1"/>
    <col min="13" max="13" width="13.453125" style="116" bestFit="1" customWidth="1"/>
    <col min="14" max="17" width="13.453125" style="116" customWidth="1"/>
    <col min="18" max="18" width="15.54296875" style="228" customWidth="1"/>
    <col min="19" max="16384" width="8.7265625" style="1"/>
  </cols>
  <sheetData>
    <row r="1" spans="2:18" ht="21.5" x14ac:dyDescent="0.3">
      <c r="B1" s="10" t="s">
        <v>98</v>
      </c>
      <c r="C1" s="105"/>
      <c r="D1" s="106"/>
      <c r="E1" s="105"/>
      <c r="F1" s="107" t="s">
        <v>12</v>
      </c>
      <c r="G1" s="108"/>
      <c r="H1" s="109"/>
      <c r="I1" s="110"/>
      <c r="J1" s="111" t="str">
        <f>"True-Up ARR
(CY"&amp;R1&amp;")"</f>
        <v>True-Up ARR
(CY2019)</v>
      </c>
      <c r="K1" s="111" t="str">
        <f>"Projected ARR
(Jan'"&amp;RIGHT(R$1,2)&amp;" - Dec'"&amp;RIGHT(R$1,2)&amp;")"</f>
        <v>Projected ARR
(Jan'19 - Dec'19)</v>
      </c>
      <c r="L1" s="112" t="s">
        <v>47</v>
      </c>
      <c r="M1" s="113"/>
      <c r="N1" s="52"/>
      <c r="O1" s="52"/>
      <c r="P1" s="52"/>
      <c r="Q1" s="52"/>
      <c r="R1" s="114">
        <v>2019</v>
      </c>
    </row>
    <row r="2" spans="2:18" ht="13" x14ac:dyDescent="0.3">
      <c r="B2" s="10" t="s">
        <v>54</v>
      </c>
      <c r="C2" s="105"/>
      <c r="D2" s="106"/>
      <c r="E2" s="105"/>
      <c r="F2" s="115">
        <v>9</v>
      </c>
      <c r="G2" s="240"/>
      <c r="H2" s="240"/>
      <c r="I2" s="117" t="s">
        <v>6</v>
      </c>
      <c r="J2" s="118">
        <v>100136.23796693773</v>
      </c>
      <c r="K2" s="118">
        <v>65769.398054551828</v>
      </c>
      <c r="L2" s="119"/>
      <c r="M2" s="12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CY2019 SPP Network Transmission Service</v>
      </c>
      <c r="C3" s="105"/>
      <c r="D3" s="106"/>
      <c r="E3" s="105"/>
      <c r="F3" s="115"/>
      <c r="G3" s="240"/>
      <c r="H3" s="240"/>
      <c r="I3" s="117" t="s">
        <v>10</v>
      </c>
      <c r="J3" s="121">
        <v>0.97014317238212067</v>
      </c>
      <c r="K3" s="121">
        <v>0.65</v>
      </c>
      <c r="L3" s="122" t="str">
        <f>"Inv. Aug-Dec'"&amp;RIGHT(R1,2)</f>
        <v>Inv. Aug-Dec'19</v>
      </c>
      <c r="M3" s="120"/>
      <c r="N3" s="52"/>
      <c r="O3" s="52"/>
      <c r="P3" s="52"/>
      <c r="Q3" s="52"/>
      <c r="R3" s="1"/>
    </row>
    <row r="4" spans="2:18" ht="13" x14ac:dyDescent="0.3">
      <c r="B4" s="9"/>
      <c r="C4" s="105"/>
      <c r="D4" s="106"/>
      <c r="E4" s="105"/>
      <c r="F4" s="115"/>
      <c r="G4" s="116"/>
      <c r="H4" s="116"/>
      <c r="I4" s="51"/>
      <c r="J4" s="116"/>
      <c r="K4" s="123"/>
      <c r="L4" s="116"/>
      <c r="M4" s="124"/>
      <c r="P4" s="52"/>
      <c r="Q4" s="52"/>
      <c r="R4" s="1"/>
    </row>
    <row r="5" spans="2:18" ht="13" x14ac:dyDescent="0.3">
      <c r="B5" s="9"/>
      <c r="C5" s="105"/>
      <c r="D5" s="106"/>
      <c r="E5" s="105"/>
      <c r="F5" s="115"/>
      <c r="G5" s="116"/>
      <c r="H5" s="116"/>
      <c r="I5" s="117"/>
      <c r="J5" s="116"/>
      <c r="K5" s="118">
        <v>65819.00181106347</v>
      </c>
      <c r="L5" s="119"/>
      <c r="M5" s="125"/>
      <c r="N5" s="126"/>
      <c r="O5" s="126"/>
      <c r="P5" s="52"/>
      <c r="Q5" s="52"/>
      <c r="R5" s="127"/>
    </row>
    <row r="6" spans="2:18" ht="13" x14ac:dyDescent="0.3">
      <c r="B6" s="10" t="s">
        <v>23</v>
      </c>
      <c r="D6" s="106"/>
      <c r="E6" s="105"/>
      <c r="F6" s="128"/>
      <c r="G6" s="129"/>
      <c r="H6" s="130"/>
      <c r="I6" s="131"/>
      <c r="J6" s="132"/>
      <c r="K6" s="121">
        <v>0.65</v>
      </c>
      <c r="L6" s="232" t="str">
        <f>"Inv. Jan-Jul'"&amp;RIGHT(R4,2)</f>
        <v>Inv. Jan-Jul'</v>
      </c>
      <c r="M6" s="125"/>
      <c r="N6" s="126"/>
      <c r="O6" s="126"/>
      <c r="P6" s="126"/>
      <c r="Q6" s="126"/>
      <c r="R6" s="1"/>
    </row>
    <row r="7" spans="2:18" ht="13" x14ac:dyDescent="0.3">
      <c r="B7" s="9" t="s">
        <v>79</v>
      </c>
      <c r="D7" s="106"/>
      <c r="E7" s="105"/>
      <c r="F7" s="115"/>
      <c r="G7" s="241"/>
      <c r="H7" s="240"/>
      <c r="I7" s="117"/>
      <c r="J7" s="133"/>
      <c r="K7" s="119"/>
      <c r="L7" s="119"/>
      <c r="M7" s="134"/>
      <c r="N7" s="135"/>
      <c r="O7" s="135"/>
      <c r="P7" s="135"/>
      <c r="Q7" s="135"/>
      <c r="R7" s="1"/>
    </row>
    <row r="8" spans="2:18" ht="13" x14ac:dyDescent="0.3">
      <c r="B8" s="10"/>
      <c r="C8" s="105"/>
      <c r="D8" s="106"/>
      <c r="E8" s="105"/>
      <c r="F8" s="115"/>
      <c r="G8" s="240"/>
      <c r="H8" s="240"/>
      <c r="I8" s="117"/>
      <c r="J8" s="136"/>
      <c r="K8" s="119"/>
      <c r="L8" s="137"/>
      <c r="M8" s="120"/>
      <c r="N8" s="52"/>
      <c r="O8" s="52"/>
      <c r="P8" s="52"/>
      <c r="Q8" s="52"/>
      <c r="R8" s="127"/>
    </row>
    <row r="9" spans="2:18" ht="13" x14ac:dyDescent="0.3">
      <c r="B9" s="138"/>
      <c r="C9" s="105"/>
      <c r="D9" s="106"/>
      <c r="E9" s="105"/>
      <c r="F9" s="115"/>
      <c r="G9" s="116"/>
      <c r="H9" s="116"/>
      <c r="I9" s="139"/>
      <c r="J9" s="140"/>
      <c r="K9" s="141"/>
      <c r="L9" s="142"/>
      <c r="M9" s="120"/>
      <c r="N9" s="52"/>
      <c r="O9" s="52"/>
      <c r="P9" s="52"/>
      <c r="Q9" s="52"/>
      <c r="R9" s="127"/>
    </row>
    <row r="10" spans="2:18" ht="13.5" thickBot="1" x14ac:dyDescent="0.35">
      <c r="B10" s="9"/>
      <c r="D10" s="1"/>
      <c r="E10" s="143"/>
      <c r="F10" s="144"/>
      <c r="G10" s="145"/>
      <c r="H10" s="146"/>
      <c r="I10" s="147"/>
      <c r="J10" s="148"/>
      <c r="K10" s="148"/>
      <c r="L10" s="149"/>
      <c r="M10" s="150"/>
      <c r="R10" s="151"/>
    </row>
    <row r="11" spans="2:18" ht="13" x14ac:dyDescent="0.3">
      <c r="B11" s="152" t="s">
        <v>97</v>
      </c>
      <c r="E11" s="143"/>
      <c r="L11" s="156"/>
      <c r="M11" s="1"/>
      <c r="N11" s="1"/>
      <c r="O11" s="1"/>
      <c r="P11" s="1"/>
      <c r="Q11" s="1"/>
      <c r="R11" s="127"/>
    </row>
    <row r="12" spans="2:18" x14ac:dyDescent="0.25">
      <c r="E12" s="143"/>
      <c r="J12" s="231"/>
      <c r="L12" s="156"/>
      <c r="R12" s="157" t="s">
        <v>62</v>
      </c>
    </row>
    <row r="13" spans="2:18" ht="13" x14ac:dyDescent="0.3">
      <c r="E13" s="143"/>
      <c r="F13" s="158"/>
      <c r="G13" s="159"/>
      <c r="H13" s="159"/>
      <c r="I13" s="160" t="s">
        <v>60</v>
      </c>
      <c r="J13" s="161">
        <f t="shared" ref="J13:R13" si="0">SUM(J56:J211)</f>
        <v>25562.3024490965</v>
      </c>
      <c r="K13" s="161">
        <f t="shared" si="0"/>
        <v>17126.850000000002</v>
      </c>
      <c r="L13" s="162">
        <f t="shared" si="0"/>
        <v>8435.4524490964977</v>
      </c>
      <c r="M13" s="163">
        <f t="shared" si="0"/>
        <v>423.88522107585663</v>
      </c>
      <c r="N13" s="161">
        <f t="shared" si="0"/>
        <v>8859.3376701723464</v>
      </c>
      <c r="O13" s="161">
        <f t="shared" si="0"/>
        <v>0</v>
      </c>
      <c r="P13" s="161">
        <f t="shared" si="0"/>
        <v>0</v>
      </c>
      <c r="Q13" s="161">
        <f t="shared" si="0"/>
        <v>0</v>
      </c>
      <c r="R13" s="162">
        <f t="shared" si="0"/>
        <v>8859.3376701723464</v>
      </c>
    </row>
    <row r="14" spans="2:18" ht="13" x14ac:dyDescent="0.3">
      <c r="E14" s="143"/>
      <c r="F14" s="164"/>
      <c r="G14" s="164"/>
      <c r="H14" s="164"/>
      <c r="I14" s="165" t="s">
        <v>61</v>
      </c>
      <c r="J14" s="161">
        <f>SUM(J20:J211)</f>
        <v>100136.23796693771</v>
      </c>
      <c r="K14" s="161">
        <f>SUM(K20:K211)</f>
        <v>67091.700000000012</v>
      </c>
      <c r="L14" s="162">
        <f>SUM(L20:L211)</f>
        <v>33044.537966937722</v>
      </c>
      <c r="M14" s="163">
        <v>1660.50266609768</v>
      </c>
      <c r="N14" s="161">
        <f>SUM(N20:N211)</f>
        <v>34705.040633035373</v>
      </c>
      <c r="O14" s="161">
        <f>SUM(O20:O211)</f>
        <v>0</v>
      </c>
      <c r="P14" s="161">
        <f>SUM(P20:P211)</f>
        <v>0</v>
      </c>
      <c r="Q14" s="161">
        <f>SUM(Q20:Q211)</f>
        <v>0</v>
      </c>
      <c r="R14" s="162">
        <f>SUM(R20:R211)</f>
        <v>34705.040633035373</v>
      </c>
    </row>
    <row r="15" spans="2:18" x14ac:dyDescent="0.25">
      <c r="B15" s="166" t="s">
        <v>84</v>
      </c>
      <c r="E15" s="143"/>
      <c r="J15" s="154"/>
      <c r="L15" s="156"/>
      <c r="M15" s="167"/>
      <c r="N15" s="167"/>
      <c r="O15" s="167"/>
      <c r="P15" s="167"/>
      <c r="Q15" s="167"/>
      <c r="R15" s="168" t="s">
        <v>20</v>
      </c>
    </row>
    <row r="16" spans="2:18" x14ac:dyDescent="0.25">
      <c r="B16" s="169" t="str">
        <f>"** Actual Trued-Up CY"&amp;R1&amp;" Charge reflects "&amp;R1&amp;" True-UP Rate x MW"</f>
        <v>** Actual Trued-Up CY2019 Charge reflects 2019 True-UP Rate x MW</v>
      </c>
      <c r="E16" s="143"/>
      <c r="F16" s="116"/>
      <c r="G16" s="5"/>
      <c r="J16" s="170"/>
      <c r="L16" s="171" t="s">
        <v>11</v>
      </c>
      <c r="M16" s="167"/>
      <c r="N16" s="167"/>
      <c r="O16" s="167"/>
      <c r="P16" s="167"/>
      <c r="Q16" s="167"/>
      <c r="R16" s="172"/>
    </row>
    <row r="17" spans="1:18" x14ac:dyDescent="0.25">
      <c r="B17" s="173" t="s">
        <v>64</v>
      </c>
      <c r="E17" s="143"/>
      <c r="I17" s="174"/>
      <c r="J17" s="175"/>
      <c r="K17" s="176"/>
      <c r="L17" s="176"/>
      <c r="M17" s="176"/>
      <c r="N17" s="176"/>
      <c r="O17" s="176"/>
      <c r="P17" s="176"/>
      <c r="Q17" s="176"/>
      <c r="R17" s="177"/>
    </row>
    <row r="18" spans="1:18" ht="3.65" customHeight="1" x14ac:dyDescent="0.25">
      <c r="I18" s="178"/>
      <c r="J18" s="175"/>
      <c r="K18" s="178"/>
      <c r="L18" s="178"/>
      <c r="M18" s="179"/>
      <c r="N18" s="179"/>
      <c r="O18" s="179"/>
      <c r="P18" s="179"/>
      <c r="Q18" s="179"/>
      <c r="R18" s="180"/>
    </row>
    <row r="19" spans="1:18" ht="38.25" customHeight="1" x14ac:dyDescent="0.25">
      <c r="B19" s="181" t="s">
        <v>55</v>
      </c>
      <c r="C19" s="182" t="s">
        <v>4</v>
      </c>
      <c r="D19" s="182" t="s">
        <v>5</v>
      </c>
      <c r="E19" s="183" t="s">
        <v>0</v>
      </c>
      <c r="F19" s="184" t="s">
        <v>12</v>
      </c>
      <c r="G19" s="185" t="s">
        <v>1</v>
      </c>
      <c r="H19" s="186" t="s">
        <v>50</v>
      </c>
      <c r="I19" s="186" t="s">
        <v>48</v>
      </c>
      <c r="J19" s="187" t="str">
        <f>"True-Up Charge"</f>
        <v>True-Up Charge</v>
      </c>
      <c r="K19" s="187" t="s">
        <v>49</v>
      </c>
      <c r="L19" s="188" t="s">
        <v>3</v>
      </c>
      <c r="M19" s="189" t="s">
        <v>7</v>
      </c>
      <c r="N19" s="190" t="s">
        <v>99</v>
      </c>
      <c r="O19" s="190" t="s">
        <v>86</v>
      </c>
      <c r="P19" s="190" t="s">
        <v>87</v>
      </c>
      <c r="Q19" s="190" t="s">
        <v>88</v>
      </c>
      <c r="R19" s="191" t="s">
        <v>2</v>
      </c>
    </row>
    <row r="20" spans="1:18" s="52" customFormat="1" ht="12.75" customHeight="1" x14ac:dyDescent="0.25">
      <c r="A20" s="116">
        <v>1</v>
      </c>
      <c r="B20" s="192">
        <f>DATE($R$1,A20,1)</f>
        <v>43466</v>
      </c>
      <c r="C20" s="193">
        <v>43501</v>
      </c>
      <c r="D20" s="193">
        <v>43516</v>
      </c>
      <c r="E20" s="194" t="s">
        <v>21</v>
      </c>
      <c r="F20" s="116">
        <v>9</v>
      </c>
      <c r="G20" s="195">
        <v>2561</v>
      </c>
      <c r="H20" s="196">
        <f t="shared" ref="H20:H26" si="1">+$K$6</f>
        <v>0.65</v>
      </c>
      <c r="I20" s="196">
        <f t="shared" ref="I20:I63" si="2">$J$3</f>
        <v>0.97014317238212067</v>
      </c>
      <c r="J20" s="197">
        <f t="shared" ref="J20:J108" si="3">+$G20*I20</f>
        <v>2484.536664470611</v>
      </c>
      <c r="K20" s="198">
        <f>+$G20*H20</f>
        <v>1664.65</v>
      </c>
      <c r="L20" s="199">
        <f t="shared" ref="L20:L34" si="4">+J20-K20</f>
        <v>819.88666447061087</v>
      </c>
      <c r="M20" s="200">
        <f>G20/$G$212*$M$14</f>
        <v>41.19966796369004</v>
      </c>
      <c r="N20" s="201">
        <f>SUM(L20:M20)</f>
        <v>861.08633243430086</v>
      </c>
      <c r="O20" s="200">
        <v>0</v>
      </c>
      <c r="P20" s="200">
        <v>0</v>
      </c>
      <c r="Q20" s="200">
        <v>0</v>
      </c>
      <c r="R20" s="201">
        <f>+N20-Q20</f>
        <v>861.08633243430086</v>
      </c>
    </row>
    <row r="21" spans="1:18" x14ac:dyDescent="0.25">
      <c r="A21" s="153">
        <v>2</v>
      </c>
      <c r="B21" s="192">
        <f t="shared" ref="B21:B108" si="5">DATE($R$1,A21,1)</f>
        <v>43497</v>
      </c>
      <c r="C21" s="193">
        <v>43529</v>
      </c>
      <c r="D21" s="193">
        <v>43544</v>
      </c>
      <c r="E21" s="202" t="s">
        <v>21</v>
      </c>
      <c r="F21" s="153">
        <v>9</v>
      </c>
      <c r="G21" s="195">
        <v>2792</v>
      </c>
      <c r="H21" s="196">
        <f t="shared" si="1"/>
        <v>0.65</v>
      </c>
      <c r="I21" s="196">
        <f t="shared" si="2"/>
        <v>0.97014317238212067</v>
      </c>
      <c r="J21" s="197">
        <f t="shared" si="3"/>
        <v>2708.6397372908809</v>
      </c>
      <c r="K21" s="198">
        <f t="shared" ref="K21:K33" si="6">+$G21*H21</f>
        <v>1814.8</v>
      </c>
      <c r="L21" s="199">
        <f t="shared" si="4"/>
        <v>893.83973729088098</v>
      </c>
      <c r="M21" s="200">
        <f t="shared" ref="M21:M84" si="7">G21/$G$212*$M$14</f>
        <v>44.915842621875278</v>
      </c>
      <c r="N21" s="201">
        <f t="shared" ref="N21:N84" si="8">SUM(L21:M21)</f>
        <v>938.75557991275628</v>
      </c>
      <c r="O21" s="200">
        <v>0</v>
      </c>
      <c r="P21" s="200">
        <v>0</v>
      </c>
      <c r="Q21" s="200">
        <v>0</v>
      </c>
      <c r="R21" s="201">
        <f t="shared" ref="R21:R84" si="9">+N21-Q21</f>
        <v>938.75557991275628</v>
      </c>
    </row>
    <row r="22" spans="1:18" x14ac:dyDescent="0.25">
      <c r="A22" s="153">
        <v>3</v>
      </c>
      <c r="B22" s="192">
        <f t="shared" si="5"/>
        <v>43525</v>
      </c>
      <c r="C22" s="193">
        <v>43558</v>
      </c>
      <c r="D22" s="193">
        <v>43573</v>
      </c>
      <c r="E22" s="202" t="s">
        <v>21</v>
      </c>
      <c r="F22" s="153">
        <v>9</v>
      </c>
      <c r="G22" s="195">
        <v>2805</v>
      </c>
      <c r="H22" s="196">
        <f t="shared" si="1"/>
        <v>0.65</v>
      </c>
      <c r="I22" s="196">
        <f t="shared" si="2"/>
        <v>0.97014317238212067</v>
      </c>
      <c r="J22" s="197">
        <f t="shared" si="3"/>
        <v>2721.2515985318487</v>
      </c>
      <c r="K22" s="198">
        <f t="shared" si="6"/>
        <v>1823.25</v>
      </c>
      <c r="L22" s="199">
        <f t="shared" si="4"/>
        <v>898.00159853184869</v>
      </c>
      <c r="M22" s="200">
        <f t="shared" si="7"/>
        <v>45.124977992249342</v>
      </c>
      <c r="N22" s="201">
        <f t="shared" si="8"/>
        <v>943.12657652409803</v>
      </c>
      <c r="O22" s="200">
        <v>0</v>
      </c>
      <c r="P22" s="200">
        <v>0</v>
      </c>
      <c r="Q22" s="200">
        <v>0</v>
      </c>
      <c r="R22" s="201">
        <f t="shared" si="9"/>
        <v>943.12657652409803</v>
      </c>
    </row>
    <row r="23" spans="1:18" x14ac:dyDescent="0.25">
      <c r="A23" s="116">
        <v>4</v>
      </c>
      <c r="B23" s="192">
        <f t="shared" si="5"/>
        <v>43556</v>
      </c>
      <c r="C23" s="193">
        <v>43588</v>
      </c>
      <c r="D23" s="193">
        <v>43605</v>
      </c>
      <c r="E23" s="202" t="s">
        <v>21</v>
      </c>
      <c r="F23" s="153">
        <v>9</v>
      </c>
      <c r="G23" s="195">
        <v>2574</v>
      </c>
      <c r="H23" s="196">
        <f t="shared" si="1"/>
        <v>0.65</v>
      </c>
      <c r="I23" s="196">
        <f t="shared" si="2"/>
        <v>0.97014317238212067</v>
      </c>
      <c r="J23" s="197">
        <f t="shared" si="3"/>
        <v>2497.1485257115787</v>
      </c>
      <c r="K23" s="198">
        <f t="shared" si="6"/>
        <v>1673.1000000000001</v>
      </c>
      <c r="L23" s="199">
        <f t="shared" si="4"/>
        <v>824.04852571157858</v>
      </c>
      <c r="M23" s="200">
        <f t="shared" si="7"/>
        <v>41.408803334064103</v>
      </c>
      <c r="N23" s="201">
        <f t="shared" si="8"/>
        <v>865.45732904564272</v>
      </c>
      <c r="O23" s="200">
        <v>0</v>
      </c>
      <c r="P23" s="200">
        <v>0</v>
      </c>
      <c r="Q23" s="200">
        <v>0</v>
      </c>
      <c r="R23" s="201">
        <f t="shared" si="9"/>
        <v>865.45732904564272</v>
      </c>
    </row>
    <row r="24" spans="1:18" ht="12" customHeight="1" x14ac:dyDescent="0.25">
      <c r="A24" s="153">
        <v>5</v>
      </c>
      <c r="B24" s="192">
        <f t="shared" si="5"/>
        <v>43586</v>
      </c>
      <c r="C24" s="193">
        <v>43621</v>
      </c>
      <c r="D24" s="193">
        <v>43636</v>
      </c>
      <c r="E24" s="54" t="s">
        <v>21</v>
      </c>
      <c r="F24" s="153">
        <v>9</v>
      </c>
      <c r="G24" s="195">
        <v>2970</v>
      </c>
      <c r="H24" s="196">
        <f t="shared" si="1"/>
        <v>0.65</v>
      </c>
      <c r="I24" s="196">
        <f t="shared" si="2"/>
        <v>0.97014317238212067</v>
      </c>
      <c r="J24" s="197">
        <f t="shared" si="3"/>
        <v>2881.3252219748983</v>
      </c>
      <c r="K24" s="198">
        <f t="shared" si="6"/>
        <v>1930.5</v>
      </c>
      <c r="L24" s="199">
        <f t="shared" si="4"/>
        <v>950.82522197489834</v>
      </c>
      <c r="M24" s="200">
        <f t="shared" si="7"/>
        <v>47.779388462381654</v>
      </c>
      <c r="N24" s="201">
        <f t="shared" si="8"/>
        <v>998.60461043728003</v>
      </c>
      <c r="O24" s="200">
        <v>0</v>
      </c>
      <c r="P24" s="200">
        <v>0</v>
      </c>
      <c r="Q24" s="200">
        <v>0</v>
      </c>
      <c r="R24" s="201">
        <f t="shared" si="9"/>
        <v>998.60461043728003</v>
      </c>
    </row>
    <row r="25" spans="1:18" x14ac:dyDescent="0.25">
      <c r="A25" s="153">
        <v>6</v>
      </c>
      <c r="B25" s="192">
        <f t="shared" si="5"/>
        <v>43617</v>
      </c>
      <c r="C25" s="193">
        <v>43649</v>
      </c>
      <c r="D25" s="193">
        <v>43664</v>
      </c>
      <c r="E25" s="54" t="s">
        <v>21</v>
      </c>
      <c r="F25" s="153">
        <v>9</v>
      </c>
      <c r="G25" s="195">
        <v>3724</v>
      </c>
      <c r="H25" s="196">
        <f t="shared" si="1"/>
        <v>0.65</v>
      </c>
      <c r="I25" s="196">
        <f t="shared" si="2"/>
        <v>0.97014317238212067</v>
      </c>
      <c r="J25" s="197">
        <f t="shared" si="3"/>
        <v>3612.8131739510172</v>
      </c>
      <c r="K25" s="198">
        <f t="shared" si="6"/>
        <v>2420.6</v>
      </c>
      <c r="L25" s="203">
        <f t="shared" si="4"/>
        <v>1192.2131739510173</v>
      </c>
      <c r="M25" s="200">
        <f t="shared" si="7"/>
        <v>59.9092399440772</v>
      </c>
      <c r="N25" s="201">
        <f t="shared" si="8"/>
        <v>1252.1224138950945</v>
      </c>
      <c r="O25" s="200">
        <v>0</v>
      </c>
      <c r="P25" s="200">
        <v>0</v>
      </c>
      <c r="Q25" s="200">
        <v>0</v>
      </c>
      <c r="R25" s="201">
        <f t="shared" si="9"/>
        <v>1252.1224138950945</v>
      </c>
    </row>
    <row r="26" spans="1:18" x14ac:dyDescent="0.25">
      <c r="A26" s="116">
        <v>7</v>
      </c>
      <c r="B26" s="192">
        <f t="shared" si="5"/>
        <v>43647</v>
      </c>
      <c r="C26" s="193">
        <v>43682</v>
      </c>
      <c r="D26" s="193">
        <v>43697</v>
      </c>
      <c r="E26" s="54" t="s">
        <v>21</v>
      </c>
      <c r="F26" s="153">
        <v>9</v>
      </c>
      <c r="G26" s="195">
        <v>3923</v>
      </c>
      <c r="H26" s="196">
        <f t="shared" si="1"/>
        <v>0.65</v>
      </c>
      <c r="I26" s="196">
        <f t="shared" si="2"/>
        <v>0.97014317238212067</v>
      </c>
      <c r="J26" s="197">
        <f t="shared" si="3"/>
        <v>3805.8716652550593</v>
      </c>
      <c r="K26" s="204">
        <f t="shared" si="6"/>
        <v>2549.9500000000003</v>
      </c>
      <c r="L26" s="203">
        <f t="shared" si="4"/>
        <v>1255.921665255059</v>
      </c>
      <c r="M26" s="200">
        <f t="shared" si="7"/>
        <v>63.110619844418601</v>
      </c>
      <c r="N26" s="201">
        <f t="shared" si="8"/>
        <v>1319.0322850994776</v>
      </c>
      <c r="O26" s="200">
        <v>0</v>
      </c>
      <c r="P26" s="200">
        <v>0</v>
      </c>
      <c r="Q26" s="200">
        <v>0</v>
      </c>
      <c r="R26" s="201">
        <f t="shared" si="9"/>
        <v>1319.0322850994776</v>
      </c>
    </row>
    <row r="27" spans="1:18" x14ac:dyDescent="0.25">
      <c r="A27" s="153">
        <v>8</v>
      </c>
      <c r="B27" s="192">
        <f t="shared" si="5"/>
        <v>43678</v>
      </c>
      <c r="C27" s="193">
        <v>43712</v>
      </c>
      <c r="D27" s="193">
        <v>43727</v>
      </c>
      <c r="E27" s="54" t="s">
        <v>21</v>
      </c>
      <c r="F27" s="153">
        <v>9</v>
      </c>
      <c r="G27" s="195">
        <v>4089</v>
      </c>
      <c r="H27" s="196">
        <f t="shared" ref="H27:H79" si="10">$K$3</f>
        <v>0.65</v>
      </c>
      <c r="I27" s="196">
        <f t="shared" si="2"/>
        <v>0.97014317238212067</v>
      </c>
      <c r="J27" s="197">
        <f t="shared" si="3"/>
        <v>3966.9154318704914</v>
      </c>
      <c r="K27" s="204">
        <f t="shared" si="6"/>
        <v>2657.85</v>
      </c>
      <c r="L27" s="203">
        <f t="shared" si="4"/>
        <v>1309.0654318704915</v>
      </c>
      <c r="M27" s="200">
        <f t="shared" si="7"/>
        <v>65.781117650733535</v>
      </c>
      <c r="N27" s="201">
        <f t="shared" si="8"/>
        <v>1374.8465495212249</v>
      </c>
      <c r="O27" s="200">
        <v>0</v>
      </c>
      <c r="P27" s="200">
        <v>0</v>
      </c>
      <c r="Q27" s="200">
        <v>0</v>
      </c>
      <c r="R27" s="201">
        <f t="shared" si="9"/>
        <v>1374.8465495212249</v>
      </c>
    </row>
    <row r="28" spans="1:18" x14ac:dyDescent="0.25">
      <c r="A28" s="153">
        <v>9</v>
      </c>
      <c r="B28" s="192">
        <f t="shared" si="5"/>
        <v>43709</v>
      </c>
      <c r="C28" s="193">
        <v>43741</v>
      </c>
      <c r="D28" s="193">
        <v>43756</v>
      </c>
      <c r="E28" s="54" t="s">
        <v>21</v>
      </c>
      <c r="F28" s="153">
        <v>9</v>
      </c>
      <c r="G28" s="195">
        <v>3731</v>
      </c>
      <c r="H28" s="196">
        <f t="shared" si="10"/>
        <v>0.65</v>
      </c>
      <c r="I28" s="196">
        <f t="shared" si="2"/>
        <v>0.97014317238212067</v>
      </c>
      <c r="J28" s="197">
        <f t="shared" si="3"/>
        <v>3619.6041761576921</v>
      </c>
      <c r="K28" s="204">
        <f t="shared" si="6"/>
        <v>2425.15</v>
      </c>
      <c r="L28" s="203">
        <f t="shared" si="4"/>
        <v>1194.454176157692</v>
      </c>
      <c r="M28" s="200">
        <f t="shared" si="7"/>
        <v>60.021851297355539</v>
      </c>
      <c r="N28" s="201">
        <f t="shared" si="8"/>
        <v>1254.4760274550476</v>
      </c>
      <c r="O28" s="200">
        <v>0</v>
      </c>
      <c r="P28" s="200">
        <v>0</v>
      </c>
      <c r="Q28" s="200">
        <v>0</v>
      </c>
      <c r="R28" s="201">
        <f t="shared" si="9"/>
        <v>1254.4760274550476</v>
      </c>
    </row>
    <row r="29" spans="1:18" x14ac:dyDescent="0.25">
      <c r="A29" s="116">
        <v>10</v>
      </c>
      <c r="B29" s="192">
        <f t="shared" si="5"/>
        <v>43739</v>
      </c>
      <c r="C29" s="193">
        <v>43774</v>
      </c>
      <c r="D29" s="193">
        <v>43789</v>
      </c>
      <c r="E29" s="54" t="s">
        <v>21</v>
      </c>
      <c r="F29" s="153">
        <v>9</v>
      </c>
      <c r="G29" s="195">
        <v>3527</v>
      </c>
      <c r="H29" s="196">
        <f t="shared" si="10"/>
        <v>0.65</v>
      </c>
      <c r="I29" s="196">
        <f t="shared" si="2"/>
        <v>0.97014317238212067</v>
      </c>
      <c r="J29" s="197">
        <f t="shared" si="3"/>
        <v>3421.6949689917396</v>
      </c>
      <c r="K29" s="204">
        <f t="shared" si="6"/>
        <v>2292.5500000000002</v>
      </c>
      <c r="L29" s="203">
        <f t="shared" si="4"/>
        <v>1129.1449689917395</v>
      </c>
      <c r="M29" s="200">
        <f t="shared" si="7"/>
        <v>56.740034716101043</v>
      </c>
      <c r="N29" s="201">
        <f t="shared" si="8"/>
        <v>1185.8850037078405</v>
      </c>
      <c r="O29" s="200">
        <v>0</v>
      </c>
      <c r="P29" s="200">
        <v>0</v>
      </c>
      <c r="Q29" s="200">
        <v>0</v>
      </c>
      <c r="R29" s="201">
        <f t="shared" si="9"/>
        <v>1185.8850037078405</v>
      </c>
    </row>
    <row r="30" spans="1:18" x14ac:dyDescent="0.25">
      <c r="A30" s="153">
        <v>11</v>
      </c>
      <c r="B30" s="192">
        <f t="shared" si="5"/>
        <v>43770</v>
      </c>
      <c r="C30" s="193">
        <v>43803</v>
      </c>
      <c r="D30" s="193">
        <v>43818</v>
      </c>
      <c r="E30" s="54" t="s">
        <v>21</v>
      </c>
      <c r="F30" s="153">
        <v>9</v>
      </c>
      <c r="G30" s="195">
        <v>2569</v>
      </c>
      <c r="H30" s="196">
        <f t="shared" si="10"/>
        <v>0.65</v>
      </c>
      <c r="I30" s="196">
        <f t="shared" si="2"/>
        <v>0.97014317238212067</v>
      </c>
      <c r="J30" s="197">
        <f t="shared" si="3"/>
        <v>2492.2978098496678</v>
      </c>
      <c r="K30" s="204">
        <f t="shared" si="6"/>
        <v>1669.8500000000001</v>
      </c>
      <c r="L30" s="203">
        <f t="shared" si="4"/>
        <v>822.44780984966769</v>
      </c>
      <c r="M30" s="200">
        <f t="shared" si="7"/>
        <v>41.328366653151001</v>
      </c>
      <c r="N30" s="201">
        <f t="shared" si="8"/>
        <v>863.77617650281866</v>
      </c>
      <c r="O30" s="200">
        <v>0</v>
      </c>
      <c r="P30" s="200">
        <v>0</v>
      </c>
      <c r="Q30" s="200">
        <v>0</v>
      </c>
      <c r="R30" s="201">
        <f t="shared" si="9"/>
        <v>863.77617650281866</v>
      </c>
    </row>
    <row r="31" spans="1:18" x14ac:dyDescent="0.25">
      <c r="A31" s="153">
        <v>12</v>
      </c>
      <c r="B31" s="192">
        <f t="shared" si="5"/>
        <v>43800</v>
      </c>
      <c r="C31" s="205">
        <v>43833</v>
      </c>
      <c r="D31" s="206">
        <v>43850</v>
      </c>
      <c r="E31" s="54" t="s">
        <v>21</v>
      </c>
      <c r="F31" s="153">
        <v>9</v>
      </c>
      <c r="G31" s="207">
        <v>2599</v>
      </c>
      <c r="H31" s="208">
        <f t="shared" si="10"/>
        <v>0.65</v>
      </c>
      <c r="I31" s="208">
        <f t="shared" si="2"/>
        <v>0.97014317238212067</v>
      </c>
      <c r="J31" s="209">
        <f t="shared" si="3"/>
        <v>2521.4021050211318</v>
      </c>
      <c r="K31" s="210">
        <f t="shared" si="6"/>
        <v>1689.3500000000001</v>
      </c>
      <c r="L31" s="211">
        <f t="shared" si="4"/>
        <v>832.05210502113164</v>
      </c>
      <c r="M31" s="200">
        <f t="shared" si="7"/>
        <v>41.810986738629602</v>
      </c>
      <c r="N31" s="201">
        <f t="shared" si="8"/>
        <v>873.86309175976123</v>
      </c>
      <c r="O31" s="200">
        <v>0</v>
      </c>
      <c r="P31" s="200">
        <v>0</v>
      </c>
      <c r="Q31" s="200">
        <v>0</v>
      </c>
      <c r="R31" s="201">
        <f t="shared" si="9"/>
        <v>873.86309175976123</v>
      </c>
    </row>
    <row r="32" spans="1:18" x14ac:dyDescent="0.25">
      <c r="A32" s="116">
        <v>1</v>
      </c>
      <c r="B32" s="212">
        <f t="shared" si="5"/>
        <v>43466</v>
      </c>
      <c r="C32" s="213">
        <f t="shared" ref="C32:D43" si="11">+C20</f>
        <v>43501</v>
      </c>
      <c r="D32" s="213">
        <f t="shared" si="11"/>
        <v>43516</v>
      </c>
      <c r="E32" s="214" t="s">
        <v>22</v>
      </c>
      <c r="F32" s="215">
        <v>9</v>
      </c>
      <c r="G32" s="195">
        <v>2997</v>
      </c>
      <c r="H32" s="196">
        <f t="shared" ref="H32:H38" si="12">+$K$6</f>
        <v>0.65</v>
      </c>
      <c r="I32" s="196">
        <f t="shared" si="2"/>
        <v>0.97014317238212067</v>
      </c>
      <c r="J32" s="197">
        <f t="shared" si="3"/>
        <v>2907.5190876292158</v>
      </c>
      <c r="K32" s="198">
        <f t="shared" si="6"/>
        <v>1948.05</v>
      </c>
      <c r="L32" s="199">
        <f t="shared" si="4"/>
        <v>959.46908762921589</v>
      </c>
      <c r="M32" s="200">
        <f t="shared" si="7"/>
        <v>48.213746539312396</v>
      </c>
      <c r="N32" s="201">
        <f t="shared" si="8"/>
        <v>1007.6828341685283</v>
      </c>
      <c r="O32" s="200">
        <v>0</v>
      </c>
      <c r="P32" s="200">
        <v>0</v>
      </c>
      <c r="Q32" s="200">
        <v>0</v>
      </c>
      <c r="R32" s="201">
        <f t="shared" si="9"/>
        <v>1007.6828341685283</v>
      </c>
    </row>
    <row r="33" spans="1:18" x14ac:dyDescent="0.25">
      <c r="A33" s="153">
        <v>2</v>
      </c>
      <c r="B33" s="192">
        <f t="shared" si="5"/>
        <v>43497</v>
      </c>
      <c r="C33" s="216">
        <f t="shared" si="11"/>
        <v>43529</v>
      </c>
      <c r="D33" s="216">
        <f t="shared" si="11"/>
        <v>43544</v>
      </c>
      <c r="E33" s="202" t="s">
        <v>22</v>
      </c>
      <c r="F33" s="153">
        <v>9</v>
      </c>
      <c r="G33" s="195">
        <v>2891</v>
      </c>
      <c r="H33" s="196">
        <f t="shared" si="12"/>
        <v>0.65</v>
      </c>
      <c r="I33" s="196">
        <f t="shared" si="2"/>
        <v>0.97014317238212067</v>
      </c>
      <c r="J33" s="197">
        <f t="shared" si="3"/>
        <v>2804.6839113567107</v>
      </c>
      <c r="K33" s="198">
        <f t="shared" si="6"/>
        <v>1879.15</v>
      </c>
      <c r="L33" s="199">
        <f t="shared" si="4"/>
        <v>925.53391135671063</v>
      </c>
      <c r="M33" s="200">
        <f t="shared" si="7"/>
        <v>46.508488903954671</v>
      </c>
      <c r="N33" s="201">
        <f t="shared" si="8"/>
        <v>972.04240026066532</v>
      </c>
      <c r="O33" s="200">
        <v>0</v>
      </c>
      <c r="P33" s="200">
        <v>0</v>
      </c>
      <c r="Q33" s="200">
        <v>0</v>
      </c>
      <c r="R33" s="201">
        <f t="shared" si="9"/>
        <v>972.04240026066532</v>
      </c>
    </row>
    <row r="34" spans="1:18" x14ac:dyDescent="0.25">
      <c r="A34" s="153">
        <v>3</v>
      </c>
      <c r="B34" s="192">
        <f t="shared" si="5"/>
        <v>43525</v>
      </c>
      <c r="C34" s="216">
        <f t="shared" si="11"/>
        <v>43558</v>
      </c>
      <c r="D34" s="216">
        <f t="shared" si="11"/>
        <v>43573</v>
      </c>
      <c r="E34" s="202" t="s">
        <v>22</v>
      </c>
      <c r="F34" s="153">
        <v>9</v>
      </c>
      <c r="G34" s="195">
        <v>2972</v>
      </c>
      <c r="H34" s="196">
        <f t="shared" si="12"/>
        <v>0.65</v>
      </c>
      <c r="I34" s="196">
        <f t="shared" si="2"/>
        <v>0.97014317238212067</v>
      </c>
      <c r="J34" s="197">
        <f t="shared" si="3"/>
        <v>2883.2655083196628</v>
      </c>
      <c r="K34" s="198">
        <f t="shared" ref="K34:K93" si="13">+$G34*H34</f>
        <v>1931.8</v>
      </c>
      <c r="L34" s="199">
        <f t="shared" si="4"/>
        <v>951.46550831966283</v>
      </c>
      <c r="M34" s="200">
        <f t="shared" si="7"/>
        <v>47.811563134746898</v>
      </c>
      <c r="N34" s="201">
        <f t="shared" si="8"/>
        <v>999.27707145440968</v>
      </c>
      <c r="O34" s="200">
        <v>0</v>
      </c>
      <c r="P34" s="200">
        <v>0</v>
      </c>
      <c r="Q34" s="200">
        <v>0</v>
      </c>
      <c r="R34" s="201">
        <f t="shared" si="9"/>
        <v>999.27707145440968</v>
      </c>
    </row>
    <row r="35" spans="1:18" x14ac:dyDescent="0.25">
      <c r="A35" s="116">
        <v>4</v>
      </c>
      <c r="B35" s="192">
        <f t="shared" si="5"/>
        <v>43556</v>
      </c>
      <c r="C35" s="216">
        <f t="shared" si="11"/>
        <v>43588</v>
      </c>
      <c r="D35" s="216">
        <f t="shared" si="11"/>
        <v>43605</v>
      </c>
      <c r="E35" s="202" t="s">
        <v>22</v>
      </c>
      <c r="F35" s="153">
        <v>9</v>
      </c>
      <c r="G35" s="195">
        <v>2449</v>
      </c>
      <c r="H35" s="196">
        <f t="shared" si="12"/>
        <v>0.65</v>
      </c>
      <c r="I35" s="196">
        <f t="shared" si="2"/>
        <v>0.97014317238212067</v>
      </c>
      <c r="J35" s="197">
        <f t="shared" si="3"/>
        <v>2375.8806291638134</v>
      </c>
      <c r="K35" s="198">
        <f t="shared" si="13"/>
        <v>1591.8500000000001</v>
      </c>
      <c r="L35" s="199">
        <f t="shared" ref="L35:L57" si="14">+J35-K35</f>
        <v>784.03062916381327</v>
      </c>
      <c r="M35" s="200">
        <f t="shared" si="7"/>
        <v>39.39788631123659</v>
      </c>
      <c r="N35" s="201">
        <f t="shared" si="8"/>
        <v>823.42851547504984</v>
      </c>
      <c r="O35" s="200">
        <v>0</v>
      </c>
      <c r="P35" s="200">
        <v>0</v>
      </c>
      <c r="Q35" s="200">
        <v>0</v>
      </c>
      <c r="R35" s="201">
        <f t="shared" si="9"/>
        <v>823.42851547504984</v>
      </c>
    </row>
    <row r="36" spans="1:18" x14ac:dyDescent="0.25">
      <c r="A36" s="153">
        <v>5</v>
      </c>
      <c r="B36" s="192">
        <f t="shared" si="5"/>
        <v>43586</v>
      </c>
      <c r="C36" s="216">
        <f t="shared" si="11"/>
        <v>43621</v>
      </c>
      <c r="D36" s="216">
        <f t="shared" si="11"/>
        <v>43636</v>
      </c>
      <c r="E36" s="54" t="s">
        <v>22</v>
      </c>
      <c r="F36" s="153">
        <v>9</v>
      </c>
      <c r="G36" s="195">
        <v>3052</v>
      </c>
      <c r="H36" s="196">
        <f t="shared" si="12"/>
        <v>0.65</v>
      </c>
      <c r="I36" s="196">
        <f t="shared" si="2"/>
        <v>0.97014317238212067</v>
      </c>
      <c r="J36" s="197">
        <f t="shared" si="3"/>
        <v>2960.8769621102324</v>
      </c>
      <c r="K36" s="198">
        <f t="shared" si="13"/>
        <v>1983.8</v>
      </c>
      <c r="L36" s="199">
        <f t="shared" si="14"/>
        <v>977.07696211023244</v>
      </c>
      <c r="M36" s="200">
        <f t="shared" si="7"/>
        <v>49.098550029356502</v>
      </c>
      <c r="N36" s="201">
        <f t="shared" si="8"/>
        <v>1026.175512139589</v>
      </c>
      <c r="O36" s="200">
        <v>0</v>
      </c>
      <c r="P36" s="200">
        <v>0</v>
      </c>
      <c r="Q36" s="200">
        <v>0</v>
      </c>
      <c r="R36" s="201">
        <f t="shared" si="9"/>
        <v>1026.175512139589</v>
      </c>
    </row>
    <row r="37" spans="1:18" x14ac:dyDescent="0.25">
      <c r="A37" s="153">
        <v>6</v>
      </c>
      <c r="B37" s="192">
        <f t="shared" si="5"/>
        <v>43617</v>
      </c>
      <c r="C37" s="216">
        <f t="shared" si="11"/>
        <v>43649</v>
      </c>
      <c r="D37" s="216">
        <f t="shared" si="11"/>
        <v>43664</v>
      </c>
      <c r="E37" s="54" t="s">
        <v>22</v>
      </c>
      <c r="F37" s="153">
        <v>9</v>
      </c>
      <c r="G37" s="195">
        <v>3362</v>
      </c>
      <c r="H37" s="196">
        <f t="shared" si="12"/>
        <v>0.65</v>
      </c>
      <c r="I37" s="196">
        <f t="shared" si="2"/>
        <v>0.97014317238212067</v>
      </c>
      <c r="J37" s="197">
        <f t="shared" si="3"/>
        <v>3261.6213455486895</v>
      </c>
      <c r="K37" s="198">
        <f t="shared" si="13"/>
        <v>2185.3000000000002</v>
      </c>
      <c r="L37" s="203">
        <f t="shared" si="14"/>
        <v>1076.3213455486894</v>
      </c>
      <c r="M37" s="200">
        <f t="shared" si="7"/>
        <v>54.085624245968731</v>
      </c>
      <c r="N37" s="201">
        <f t="shared" si="8"/>
        <v>1130.4069697946582</v>
      </c>
      <c r="O37" s="200">
        <v>0</v>
      </c>
      <c r="P37" s="200">
        <v>0</v>
      </c>
      <c r="Q37" s="200">
        <v>0</v>
      </c>
      <c r="R37" s="201">
        <f t="shared" si="9"/>
        <v>1130.4069697946582</v>
      </c>
    </row>
    <row r="38" spans="1:18" x14ac:dyDescent="0.25">
      <c r="A38" s="116">
        <v>7</v>
      </c>
      <c r="B38" s="192">
        <f t="shared" si="5"/>
        <v>43647</v>
      </c>
      <c r="C38" s="216">
        <f t="shared" si="11"/>
        <v>43682</v>
      </c>
      <c r="D38" s="216">
        <f t="shared" si="11"/>
        <v>43697</v>
      </c>
      <c r="E38" s="54" t="s">
        <v>22</v>
      </c>
      <c r="F38" s="153">
        <v>9</v>
      </c>
      <c r="G38" s="195">
        <v>3457</v>
      </c>
      <c r="H38" s="196">
        <f t="shared" si="12"/>
        <v>0.65</v>
      </c>
      <c r="I38" s="196">
        <f t="shared" si="2"/>
        <v>0.97014317238212067</v>
      </c>
      <c r="J38" s="197">
        <f t="shared" si="3"/>
        <v>3353.7849469249913</v>
      </c>
      <c r="K38" s="204">
        <f t="shared" si="13"/>
        <v>2247.0500000000002</v>
      </c>
      <c r="L38" s="203">
        <f t="shared" si="14"/>
        <v>1106.7349469249912</v>
      </c>
      <c r="M38" s="200">
        <f t="shared" si="7"/>
        <v>55.613921183317629</v>
      </c>
      <c r="N38" s="201">
        <f t="shared" si="8"/>
        <v>1162.3488681083088</v>
      </c>
      <c r="O38" s="200">
        <v>0</v>
      </c>
      <c r="P38" s="200">
        <v>0</v>
      </c>
      <c r="Q38" s="200">
        <v>0</v>
      </c>
      <c r="R38" s="201">
        <f t="shared" si="9"/>
        <v>1162.3488681083088</v>
      </c>
    </row>
    <row r="39" spans="1:18" x14ac:dyDescent="0.25">
      <c r="A39" s="153">
        <v>8</v>
      </c>
      <c r="B39" s="192">
        <f t="shared" si="5"/>
        <v>43678</v>
      </c>
      <c r="C39" s="216">
        <f t="shared" si="11"/>
        <v>43712</v>
      </c>
      <c r="D39" s="216">
        <f t="shared" si="11"/>
        <v>43727</v>
      </c>
      <c r="E39" s="54" t="s">
        <v>22</v>
      </c>
      <c r="F39" s="153">
        <v>9</v>
      </c>
      <c r="G39" s="195">
        <v>3664</v>
      </c>
      <c r="H39" s="196">
        <f t="shared" si="10"/>
        <v>0.65</v>
      </c>
      <c r="I39" s="196">
        <f t="shared" si="2"/>
        <v>0.97014317238212067</v>
      </c>
      <c r="J39" s="197">
        <f t="shared" si="3"/>
        <v>3554.6045836080903</v>
      </c>
      <c r="K39" s="204">
        <f t="shared" si="13"/>
        <v>2381.6</v>
      </c>
      <c r="L39" s="203">
        <f t="shared" si="14"/>
        <v>1173.0045836080903</v>
      </c>
      <c r="M39" s="200">
        <f t="shared" si="7"/>
        <v>58.943999773119998</v>
      </c>
      <c r="N39" s="201">
        <f t="shared" si="8"/>
        <v>1231.9485833812103</v>
      </c>
      <c r="O39" s="200">
        <v>0</v>
      </c>
      <c r="P39" s="200">
        <v>0</v>
      </c>
      <c r="Q39" s="200">
        <v>0</v>
      </c>
      <c r="R39" s="201">
        <f t="shared" si="9"/>
        <v>1231.9485833812103</v>
      </c>
    </row>
    <row r="40" spans="1:18" x14ac:dyDescent="0.25">
      <c r="A40" s="153">
        <v>9</v>
      </c>
      <c r="B40" s="192">
        <f t="shared" si="5"/>
        <v>43709</v>
      </c>
      <c r="C40" s="216">
        <f t="shared" si="11"/>
        <v>43741</v>
      </c>
      <c r="D40" s="216">
        <f t="shared" si="11"/>
        <v>43756</v>
      </c>
      <c r="E40" s="54" t="s">
        <v>22</v>
      </c>
      <c r="F40" s="153">
        <v>9</v>
      </c>
      <c r="G40" s="195">
        <v>3474</v>
      </c>
      <c r="H40" s="196">
        <f t="shared" si="10"/>
        <v>0.65</v>
      </c>
      <c r="I40" s="196">
        <f t="shared" si="2"/>
        <v>0.97014317238212067</v>
      </c>
      <c r="J40" s="197">
        <f t="shared" si="3"/>
        <v>3370.2773808554871</v>
      </c>
      <c r="K40" s="204">
        <f t="shared" si="13"/>
        <v>2258.1</v>
      </c>
      <c r="L40" s="203">
        <f t="shared" si="14"/>
        <v>1112.1773808554872</v>
      </c>
      <c r="M40" s="200">
        <f t="shared" si="7"/>
        <v>55.88740589842218</v>
      </c>
      <c r="N40" s="201">
        <f t="shared" si="8"/>
        <v>1168.0647867539094</v>
      </c>
      <c r="O40" s="200">
        <v>0</v>
      </c>
      <c r="P40" s="200">
        <v>0</v>
      </c>
      <c r="Q40" s="200">
        <v>0</v>
      </c>
      <c r="R40" s="201">
        <f t="shared" si="9"/>
        <v>1168.0647867539094</v>
      </c>
    </row>
    <row r="41" spans="1:18" x14ac:dyDescent="0.25">
      <c r="A41" s="116">
        <v>10</v>
      </c>
      <c r="B41" s="192">
        <f t="shared" si="5"/>
        <v>43739</v>
      </c>
      <c r="C41" s="216">
        <f t="shared" si="11"/>
        <v>43774</v>
      </c>
      <c r="D41" s="216">
        <f t="shared" si="11"/>
        <v>43789</v>
      </c>
      <c r="E41" s="54" t="s">
        <v>22</v>
      </c>
      <c r="F41" s="153">
        <v>9</v>
      </c>
      <c r="G41" s="195">
        <v>3301</v>
      </c>
      <c r="H41" s="196">
        <f t="shared" si="10"/>
        <v>0.65</v>
      </c>
      <c r="I41" s="196">
        <f t="shared" si="2"/>
        <v>0.97014317238212067</v>
      </c>
      <c r="J41" s="197">
        <f t="shared" si="3"/>
        <v>3202.4426120333801</v>
      </c>
      <c r="K41" s="204">
        <f t="shared" si="13"/>
        <v>2145.65</v>
      </c>
      <c r="L41" s="203">
        <f t="shared" si="14"/>
        <v>1056.79261203338</v>
      </c>
      <c r="M41" s="200">
        <f t="shared" si="7"/>
        <v>53.104296738828907</v>
      </c>
      <c r="N41" s="201">
        <f t="shared" si="8"/>
        <v>1109.8969087722089</v>
      </c>
      <c r="O41" s="200">
        <v>0</v>
      </c>
      <c r="P41" s="200">
        <v>0</v>
      </c>
      <c r="Q41" s="200">
        <v>0</v>
      </c>
      <c r="R41" s="201">
        <f t="shared" si="9"/>
        <v>1109.8969087722089</v>
      </c>
    </row>
    <row r="42" spans="1:18" x14ac:dyDescent="0.25">
      <c r="A42" s="153">
        <v>11</v>
      </c>
      <c r="B42" s="192">
        <f t="shared" si="5"/>
        <v>43770</v>
      </c>
      <c r="C42" s="216">
        <f t="shared" si="11"/>
        <v>43803</v>
      </c>
      <c r="D42" s="216">
        <f t="shared" si="11"/>
        <v>43818</v>
      </c>
      <c r="E42" s="54" t="s">
        <v>22</v>
      </c>
      <c r="F42" s="153">
        <v>9</v>
      </c>
      <c r="G42" s="195">
        <v>2932</v>
      </c>
      <c r="H42" s="196">
        <f t="shared" si="10"/>
        <v>0.65</v>
      </c>
      <c r="I42" s="196">
        <f t="shared" si="2"/>
        <v>0.97014317238212067</v>
      </c>
      <c r="J42" s="197">
        <f t="shared" si="3"/>
        <v>2844.459781424378</v>
      </c>
      <c r="K42" s="204">
        <f t="shared" si="13"/>
        <v>1905.8</v>
      </c>
      <c r="L42" s="203">
        <f t="shared" si="14"/>
        <v>938.65978142437802</v>
      </c>
      <c r="M42" s="200">
        <f t="shared" si="7"/>
        <v>47.168069687442092</v>
      </c>
      <c r="N42" s="201">
        <f t="shared" si="8"/>
        <v>985.82785111182011</v>
      </c>
      <c r="O42" s="200">
        <v>0</v>
      </c>
      <c r="P42" s="200">
        <v>0</v>
      </c>
      <c r="Q42" s="200">
        <v>0</v>
      </c>
      <c r="R42" s="201">
        <f t="shared" si="9"/>
        <v>985.82785111182011</v>
      </c>
    </row>
    <row r="43" spans="1:18" x14ac:dyDescent="0.25">
      <c r="A43" s="153">
        <v>12</v>
      </c>
      <c r="B43" s="192">
        <f t="shared" si="5"/>
        <v>43800</v>
      </c>
      <c r="C43" s="216">
        <f t="shared" si="11"/>
        <v>43833</v>
      </c>
      <c r="D43" s="216">
        <f t="shared" si="11"/>
        <v>43850</v>
      </c>
      <c r="E43" s="54" t="s">
        <v>22</v>
      </c>
      <c r="F43" s="153">
        <v>9</v>
      </c>
      <c r="G43" s="207">
        <v>2839</v>
      </c>
      <c r="H43" s="208">
        <f t="shared" si="10"/>
        <v>0.65</v>
      </c>
      <c r="I43" s="208">
        <f t="shared" si="2"/>
        <v>0.97014317238212067</v>
      </c>
      <c r="J43" s="209">
        <f t="shared" si="3"/>
        <v>2754.2364663928406</v>
      </c>
      <c r="K43" s="210">
        <f t="shared" si="13"/>
        <v>1845.3500000000001</v>
      </c>
      <c r="L43" s="211">
        <f t="shared" si="14"/>
        <v>908.88646639284048</v>
      </c>
      <c r="M43" s="200">
        <f t="shared" si="7"/>
        <v>45.671947422458423</v>
      </c>
      <c r="N43" s="201">
        <f t="shared" si="8"/>
        <v>954.55841381529888</v>
      </c>
      <c r="O43" s="200">
        <v>0</v>
      </c>
      <c r="P43" s="200">
        <v>0</v>
      </c>
      <c r="Q43" s="200">
        <v>0</v>
      </c>
      <c r="R43" s="201">
        <f t="shared" si="9"/>
        <v>954.55841381529888</v>
      </c>
    </row>
    <row r="44" spans="1:18" x14ac:dyDescent="0.25">
      <c r="A44" s="116">
        <v>1</v>
      </c>
      <c r="B44" s="212">
        <f t="shared" ref="B44:B55" si="15">DATE($R$1,A44,1)</f>
        <v>43466</v>
      </c>
      <c r="C44" s="213">
        <f t="shared" ref="C44:D55" si="16">+C32</f>
        <v>43501</v>
      </c>
      <c r="D44" s="213">
        <f t="shared" si="16"/>
        <v>43516</v>
      </c>
      <c r="E44" s="214" t="s">
        <v>83</v>
      </c>
      <c r="F44" s="215">
        <v>9</v>
      </c>
      <c r="G44" s="195">
        <v>157</v>
      </c>
      <c r="H44" s="196">
        <f t="shared" ref="H44:H50" si="17">+$K$6</f>
        <v>0.65</v>
      </c>
      <c r="I44" s="196">
        <f t="shared" si="2"/>
        <v>0.97014317238212067</v>
      </c>
      <c r="J44" s="200">
        <f t="shared" ref="J44:J55" si="18">+$G44*I44</f>
        <v>152.31247806399296</v>
      </c>
      <c r="K44" s="204">
        <f t="shared" ref="K44:K55" si="19">+$G44*H44</f>
        <v>102.05</v>
      </c>
      <c r="L44" s="203">
        <f t="shared" ref="L44:L55" si="20">+J44-K44</f>
        <v>50.262478063992958</v>
      </c>
      <c r="M44" s="200">
        <f t="shared" si="7"/>
        <v>2.5257117806713536</v>
      </c>
      <c r="N44" s="201">
        <f t="shared" si="8"/>
        <v>52.788189844664309</v>
      </c>
      <c r="O44" s="200">
        <v>0</v>
      </c>
      <c r="P44" s="200">
        <v>0</v>
      </c>
      <c r="Q44" s="200">
        <v>0</v>
      </c>
      <c r="R44" s="201">
        <f t="shared" si="9"/>
        <v>52.788189844664309</v>
      </c>
    </row>
    <row r="45" spans="1:18" x14ac:dyDescent="0.25">
      <c r="A45" s="153">
        <v>2</v>
      </c>
      <c r="B45" s="192">
        <f t="shared" si="15"/>
        <v>43497</v>
      </c>
      <c r="C45" s="216">
        <f t="shared" si="16"/>
        <v>43529</v>
      </c>
      <c r="D45" s="216">
        <f t="shared" si="16"/>
        <v>43544</v>
      </c>
      <c r="E45" s="202" t="s">
        <v>83</v>
      </c>
      <c r="F45" s="153">
        <v>9</v>
      </c>
      <c r="G45" s="195">
        <v>138</v>
      </c>
      <c r="H45" s="196">
        <f t="shared" si="17"/>
        <v>0.65</v>
      </c>
      <c r="I45" s="196">
        <f t="shared" si="2"/>
        <v>0.97014317238212067</v>
      </c>
      <c r="J45" s="200">
        <f t="shared" si="18"/>
        <v>133.87975778873266</v>
      </c>
      <c r="K45" s="204">
        <f t="shared" si="19"/>
        <v>89.7</v>
      </c>
      <c r="L45" s="203">
        <f t="shared" si="20"/>
        <v>44.179757788732658</v>
      </c>
      <c r="M45" s="200">
        <f t="shared" si="7"/>
        <v>2.2200523932015717</v>
      </c>
      <c r="N45" s="201">
        <f t="shared" si="8"/>
        <v>46.399810181934228</v>
      </c>
      <c r="O45" s="200">
        <v>0</v>
      </c>
      <c r="P45" s="200">
        <v>0</v>
      </c>
      <c r="Q45" s="200">
        <v>0</v>
      </c>
      <c r="R45" s="201">
        <f t="shared" si="9"/>
        <v>46.399810181934228</v>
      </c>
    </row>
    <row r="46" spans="1:18" x14ac:dyDescent="0.25">
      <c r="A46" s="153">
        <v>3</v>
      </c>
      <c r="B46" s="192">
        <f t="shared" si="15"/>
        <v>43525</v>
      </c>
      <c r="C46" s="216">
        <f t="shared" si="16"/>
        <v>43558</v>
      </c>
      <c r="D46" s="216">
        <f t="shared" si="16"/>
        <v>43573</v>
      </c>
      <c r="E46" s="202" t="s">
        <v>83</v>
      </c>
      <c r="F46" s="153">
        <v>9</v>
      </c>
      <c r="G46" s="195">
        <v>153</v>
      </c>
      <c r="H46" s="196">
        <f t="shared" si="17"/>
        <v>0.65</v>
      </c>
      <c r="I46" s="196">
        <f t="shared" si="2"/>
        <v>0.97014317238212067</v>
      </c>
      <c r="J46" s="200">
        <f t="shared" si="18"/>
        <v>148.43190537446446</v>
      </c>
      <c r="K46" s="204">
        <f t="shared" si="19"/>
        <v>99.45</v>
      </c>
      <c r="L46" s="203">
        <f t="shared" si="20"/>
        <v>48.981905374464461</v>
      </c>
      <c r="M46" s="200">
        <f t="shared" si="7"/>
        <v>2.4613624359408734</v>
      </c>
      <c r="N46" s="201">
        <f t="shared" si="8"/>
        <v>51.443267810405331</v>
      </c>
      <c r="O46" s="200">
        <v>0</v>
      </c>
      <c r="P46" s="200">
        <v>0</v>
      </c>
      <c r="Q46" s="200">
        <v>0</v>
      </c>
      <c r="R46" s="201">
        <f t="shared" si="9"/>
        <v>51.443267810405331</v>
      </c>
    </row>
    <row r="47" spans="1:18" x14ac:dyDescent="0.25">
      <c r="A47" s="116">
        <v>4</v>
      </c>
      <c r="B47" s="192">
        <f t="shared" si="15"/>
        <v>43556</v>
      </c>
      <c r="C47" s="216">
        <f t="shared" si="16"/>
        <v>43588</v>
      </c>
      <c r="D47" s="216">
        <f t="shared" si="16"/>
        <v>43605</v>
      </c>
      <c r="E47" s="202" t="s">
        <v>83</v>
      </c>
      <c r="F47" s="153">
        <v>9</v>
      </c>
      <c r="G47" s="195">
        <v>85</v>
      </c>
      <c r="H47" s="196">
        <f t="shared" si="17"/>
        <v>0.65</v>
      </c>
      <c r="I47" s="196">
        <f t="shared" si="2"/>
        <v>0.97014317238212067</v>
      </c>
      <c r="J47" s="200">
        <f t="shared" si="18"/>
        <v>82.462169652480256</v>
      </c>
      <c r="K47" s="204">
        <f t="shared" si="19"/>
        <v>55.25</v>
      </c>
      <c r="L47" s="203">
        <f t="shared" si="20"/>
        <v>27.212169652480256</v>
      </c>
      <c r="M47" s="200">
        <f t="shared" si="7"/>
        <v>1.3674235755227073</v>
      </c>
      <c r="N47" s="201">
        <f t="shared" si="8"/>
        <v>28.579593228002963</v>
      </c>
      <c r="O47" s="200">
        <v>0</v>
      </c>
      <c r="P47" s="200">
        <v>0</v>
      </c>
      <c r="Q47" s="200">
        <v>0</v>
      </c>
      <c r="R47" s="201">
        <f t="shared" si="9"/>
        <v>28.579593228002963</v>
      </c>
    </row>
    <row r="48" spans="1:18" x14ac:dyDescent="0.25">
      <c r="A48" s="153">
        <v>5</v>
      </c>
      <c r="B48" s="192">
        <f t="shared" si="15"/>
        <v>43586</v>
      </c>
      <c r="C48" s="216">
        <f t="shared" si="16"/>
        <v>43621</v>
      </c>
      <c r="D48" s="216">
        <f t="shared" si="16"/>
        <v>43636</v>
      </c>
      <c r="E48" s="202" t="s">
        <v>83</v>
      </c>
      <c r="F48" s="153">
        <v>9</v>
      </c>
      <c r="G48" s="195">
        <v>115</v>
      </c>
      <c r="H48" s="196">
        <f t="shared" si="17"/>
        <v>0.65</v>
      </c>
      <c r="I48" s="196">
        <f t="shared" si="2"/>
        <v>0.97014317238212067</v>
      </c>
      <c r="J48" s="200">
        <f t="shared" si="18"/>
        <v>111.56646482394387</v>
      </c>
      <c r="K48" s="204">
        <f t="shared" si="19"/>
        <v>74.75</v>
      </c>
      <c r="L48" s="203">
        <f t="shared" si="20"/>
        <v>36.816464823943875</v>
      </c>
      <c r="M48" s="200">
        <f t="shared" si="7"/>
        <v>1.85004366100131</v>
      </c>
      <c r="N48" s="201">
        <f t="shared" si="8"/>
        <v>38.666508484945183</v>
      </c>
      <c r="O48" s="200">
        <v>0</v>
      </c>
      <c r="P48" s="200">
        <v>0</v>
      </c>
      <c r="Q48" s="200">
        <v>0</v>
      </c>
      <c r="R48" s="201">
        <f t="shared" si="9"/>
        <v>38.666508484945183</v>
      </c>
    </row>
    <row r="49" spans="1:18" x14ac:dyDescent="0.25">
      <c r="A49" s="153">
        <v>6</v>
      </c>
      <c r="B49" s="192">
        <f t="shared" si="15"/>
        <v>43617</v>
      </c>
      <c r="C49" s="216">
        <f t="shared" si="16"/>
        <v>43649</v>
      </c>
      <c r="D49" s="216">
        <f t="shared" si="16"/>
        <v>43664</v>
      </c>
      <c r="E49" s="202" t="s">
        <v>83</v>
      </c>
      <c r="F49" s="153">
        <v>9</v>
      </c>
      <c r="G49" s="195">
        <v>119</v>
      </c>
      <c r="H49" s="196">
        <f t="shared" si="17"/>
        <v>0.65</v>
      </c>
      <c r="I49" s="196">
        <f t="shared" si="2"/>
        <v>0.97014317238212067</v>
      </c>
      <c r="J49" s="200">
        <f t="shared" si="18"/>
        <v>115.44703751347235</v>
      </c>
      <c r="K49" s="204">
        <f t="shared" si="19"/>
        <v>77.350000000000009</v>
      </c>
      <c r="L49" s="203">
        <f t="shared" si="20"/>
        <v>38.097037513472344</v>
      </c>
      <c r="M49" s="200">
        <f t="shared" si="7"/>
        <v>1.9143930057317902</v>
      </c>
      <c r="N49" s="201">
        <f t="shared" si="8"/>
        <v>40.011430519204133</v>
      </c>
      <c r="O49" s="200">
        <v>0</v>
      </c>
      <c r="P49" s="200">
        <v>0</v>
      </c>
      <c r="Q49" s="200">
        <v>0</v>
      </c>
      <c r="R49" s="201">
        <f t="shared" si="9"/>
        <v>40.011430519204133</v>
      </c>
    </row>
    <row r="50" spans="1:18" x14ac:dyDescent="0.25">
      <c r="A50" s="116">
        <v>7</v>
      </c>
      <c r="B50" s="192">
        <f t="shared" si="15"/>
        <v>43647</v>
      </c>
      <c r="C50" s="216">
        <f t="shared" si="16"/>
        <v>43682</v>
      </c>
      <c r="D50" s="216">
        <f t="shared" si="16"/>
        <v>43697</v>
      </c>
      <c r="E50" s="202" t="s">
        <v>83</v>
      </c>
      <c r="F50" s="153">
        <v>9</v>
      </c>
      <c r="G50" s="195">
        <v>136</v>
      </c>
      <c r="H50" s="196">
        <f t="shared" si="17"/>
        <v>0.65</v>
      </c>
      <c r="I50" s="196">
        <f t="shared" si="2"/>
        <v>0.97014317238212067</v>
      </c>
      <c r="J50" s="200">
        <f t="shared" si="18"/>
        <v>131.93947144396842</v>
      </c>
      <c r="K50" s="204">
        <f t="shared" si="19"/>
        <v>88.4</v>
      </c>
      <c r="L50" s="203">
        <f t="shared" si="20"/>
        <v>43.539471443968409</v>
      </c>
      <c r="M50" s="200">
        <f t="shared" si="7"/>
        <v>2.1878777208363318</v>
      </c>
      <c r="N50" s="201">
        <f t="shared" si="8"/>
        <v>45.727349164804743</v>
      </c>
      <c r="O50" s="200">
        <v>0</v>
      </c>
      <c r="P50" s="200">
        <v>0</v>
      </c>
      <c r="Q50" s="200">
        <v>0</v>
      </c>
      <c r="R50" s="201">
        <f t="shared" si="9"/>
        <v>45.727349164804743</v>
      </c>
    </row>
    <row r="51" spans="1:18" x14ac:dyDescent="0.25">
      <c r="A51" s="153">
        <v>8</v>
      </c>
      <c r="B51" s="192">
        <f t="shared" si="15"/>
        <v>43678</v>
      </c>
      <c r="C51" s="216">
        <f t="shared" si="16"/>
        <v>43712</v>
      </c>
      <c r="D51" s="216">
        <f t="shared" si="16"/>
        <v>43727</v>
      </c>
      <c r="E51" s="202" t="s">
        <v>83</v>
      </c>
      <c r="F51" s="153">
        <v>9</v>
      </c>
      <c r="G51" s="195">
        <v>141</v>
      </c>
      <c r="H51" s="196">
        <f t="shared" si="10"/>
        <v>0.65</v>
      </c>
      <c r="I51" s="196">
        <f t="shared" si="2"/>
        <v>0.97014317238212067</v>
      </c>
      <c r="J51" s="200">
        <f t="shared" si="18"/>
        <v>136.79018730587902</v>
      </c>
      <c r="K51" s="204">
        <f t="shared" si="19"/>
        <v>91.65</v>
      </c>
      <c r="L51" s="203">
        <f t="shared" si="20"/>
        <v>45.14018730587901</v>
      </c>
      <c r="M51" s="200">
        <f t="shared" si="7"/>
        <v>2.2683144017494321</v>
      </c>
      <c r="N51" s="201">
        <f t="shared" si="8"/>
        <v>47.408501707628446</v>
      </c>
      <c r="O51" s="200">
        <v>0</v>
      </c>
      <c r="P51" s="200">
        <v>0</v>
      </c>
      <c r="Q51" s="200">
        <v>0</v>
      </c>
      <c r="R51" s="201">
        <f t="shared" si="9"/>
        <v>47.408501707628446</v>
      </c>
    </row>
    <row r="52" spans="1:18" x14ac:dyDescent="0.25">
      <c r="A52" s="153">
        <v>9</v>
      </c>
      <c r="B52" s="192">
        <f t="shared" si="15"/>
        <v>43709</v>
      </c>
      <c r="C52" s="216">
        <f t="shared" si="16"/>
        <v>43741</v>
      </c>
      <c r="D52" s="216">
        <f t="shared" si="16"/>
        <v>43756</v>
      </c>
      <c r="E52" s="202" t="s">
        <v>83</v>
      </c>
      <c r="F52" s="153">
        <v>9</v>
      </c>
      <c r="G52" s="195">
        <v>137</v>
      </c>
      <c r="H52" s="196">
        <f t="shared" si="10"/>
        <v>0.65</v>
      </c>
      <c r="I52" s="196">
        <f t="shared" si="2"/>
        <v>0.97014317238212067</v>
      </c>
      <c r="J52" s="200">
        <f t="shared" si="18"/>
        <v>132.90961461635052</v>
      </c>
      <c r="K52" s="204">
        <f t="shared" si="19"/>
        <v>89.05</v>
      </c>
      <c r="L52" s="203">
        <f t="shared" si="20"/>
        <v>43.859614616350527</v>
      </c>
      <c r="M52" s="200">
        <f t="shared" si="7"/>
        <v>2.203965057018952</v>
      </c>
      <c r="N52" s="201">
        <f t="shared" si="8"/>
        <v>46.063579673369482</v>
      </c>
      <c r="O52" s="200">
        <v>0</v>
      </c>
      <c r="P52" s="200">
        <v>0</v>
      </c>
      <c r="Q52" s="200">
        <v>0</v>
      </c>
      <c r="R52" s="201">
        <f t="shared" si="9"/>
        <v>46.063579673369482</v>
      </c>
    </row>
    <row r="53" spans="1:18" x14ac:dyDescent="0.25">
      <c r="A53" s="116">
        <v>10</v>
      </c>
      <c r="B53" s="192">
        <f t="shared" si="15"/>
        <v>43739</v>
      </c>
      <c r="C53" s="216">
        <f t="shared" si="16"/>
        <v>43774</v>
      </c>
      <c r="D53" s="216">
        <f t="shared" si="16"/>
        <v>43789</v>
      </c>
      <c r="E53" s="202" t="s">
        <v>83</v>
      </c>
      <c r="F53" s="153">
        <v>9</v>
      </c>
      <c r="G53" s="195">
        <v>125</v>
      </c>
      <c r="H53" s="196">
        <f t="shared" si="10"/>
        <v>0.65</v>
      </c>
      <c r="I53" s="196">
        <f t="shared" si="2"/>
        <v>0.97014317238212067</v>
      </c>
      <c r="J53" s="200">
        <f t="shared" si="18"/>
        <v>121.26789654776508</v>
      </c>
      <c r="K53" s="204">
        <f t="shared" si="19"/>
        <v>81.25</v>
      </c>
      <c r="L53" s="203">
        <f t="shared" si="20"/>
        <v>40.017896547765076</v>
      </c>
      <c r="M53" s="200">
        <f t="shared" si="7"/>
        <v>2.0109170228275111</v>
      </c>
      <c r="N53" s="201">
        <f t="shared" si="8"/>
        <v>42.02881357059259</v>
      </c>
      <c r="O53" s="200">
        <v>0</v>
      </c>
      <c r="P53" s="200">
        <v>0</v>
      </c>
      <c r="Q53" s="200">
        <v>0</v>
      </c>
      <c r="R53" s="201">
        <f t="shared" si="9"/>
        <v>42.02881357059259</v>
      </c>
    </row>
    <row r="54" spans="1:18" x14ac:dyDescent="0.25">
      <c r="A54" s="153">
        <v>11</v>
      </c>
      <c r="B54" s="192">
        <f t="shared" si="15"/>
        <v>43770</v>
      </c>
      <c r="C54" s="216">
        <f t="shared" si="16"/>
        <v>43803</v>
      </c>
      <c r="D54" s="216">
        <f t="shared" si="16"/>
        <v>43818</v>
      </c>
      <c r="E54" s="202" t="s">
        <v>83</v>
      </c>
      <c r="F54" s="153">
        <v>9</v>
      </c>
      <c r="G54" s="195">
        <v>157</v>
      </c>
      <c r="H54" s="196">
        <f t="shared" si="10"/>
        <v>0.65</v>
      </c>
      <c r="I54" s="196">
        <f t="shared" si="2"/>
        <v>0.97014317238212067</v>
      </c>
      <c r="J54" s="200">
        <f t="shared" si="18"/>
        <v>152.31247806399296</v>
      </c>
      <c r="K54" s="204">
        <f t="shared" si="19"/>
        <v>102.05</v>
      </c>
      <c r="L54" s="203">
        <f t="shared" si="20"/>
        <v>50.262478063992958</v>
      </c>
      <c r="M54" s="200">
        <f t="shared" si="7"/>
        <v>2.5257117806713536</v>
      </c>
      <c r="N54" s="201">
        <f t="shared" si="8"/>
        <v>52.788189844664309</v>
      </c>
      <c r="O54" s="200">
        <v>0</v>
      </c>
      <c r="P54" s="200">
        <v>0</v>
      </c>
      <c r="Q54" s="200">
        <v>0</v>
      </c>
      <c r="R54" s="201">
        <f t="shared" si="9"/>
        <v>52.788189844664309</v>
      </c>
    </row>
    <row r="55" spans="1:18" x14ac:dyDescent="0.25">
      <c r="A55" s="153">
        <v>12</v>
      </c>
      <c r="B55" s="192">
        <f t="shared" si="15"/>
        <v>43800</v>
      </c>
      <c r="C55" s="216">
        <f t="shared" si="16"/>
        <v>43833</v>
      </c>
      <c r="D55" s="216">
        <f t="shared" si="16"/>
        <v>43850</v>
      </c>
      <c r="E55" s="202" t="s">
        <v>83</v>
      </c>
      <c r="F55" s="153">
        <v>9</v>
      </c>
      <c r="G55" s="207">
        <v>152</v>
      </c>
      <c r="H55" s="208">
        <f t="shared" si="10"/>
        <v>0.65</v>
      </c>
      <c r="I55" s="208">
        <f t="shared" si="2"/>
        <v>0.97014317238212067</v>
      </c>
      <c r="J55" s="209">
        <f t="shared" si="18"/>
        <v>147.46176220208235</v>
      </c>
      <c r="K55" s="210">
        <f t="shared" si="19"/>
        <v>98.8</v>
      </c>
      <c r="L55" s="211">
        <f t="shared" si="20"/>
        <v>48.661762202082357</v>
      </c>
      <c r="M55" s="200">
        <f t="shared" si="7"/>
        <v>2.4452750997582533</v>
      </c>
      <c r="N55" s="201">
        <f t="shared" si="8"/>
        <v>51.107037301840613</v>
      </c>
      <c r="O55" s="200">
        <v>0</v>
      </c>
      <c r="P55" s="200">
        <v>0</v>
      </c>
      <c r="Q55" s="200">
        <v>0</v>
      </c>
      <c r="R55" s="201">
        <f t="shared" si="9"/>
        <v>51.107037301840613</v>
      </c>
    </row>
    <row r="56" spans="1:18" s="217" customFormat="1" x14ac:dyDescent="0.25">
      <c r="A56" s="116">
        <v>1</v>
      </c>
      <c r="B56" s="212">
        <f t="shared" si="5"/>
        <v>43466</v>
      </c>
      <c r="C56" s="213">
        <f t="shared" ref="C56:D67" si="21">+C32</f>
        <v>43501</v>
      </c>
      <c r="D56" s="213">
        <f t="shared" si="21"/>
        <v>43516</v>
      </c>
      <c r="E56" s="214" t="s">
        <v>14</v>
      </c>
      <c r="F56" s="215">
        <v>9</v>
      </c>
      <c r="G56" s="195">
        <v>765</v>
      </c>
      <c r="H56" s="196">
        <f t="shared" ref="H56:H62" si="22">+$K$6</f>
        <v>0.65</v>
      </c>
      <c r="I56" s="196">
        <f t="shared" si="2"/>
        <v>0.97014317238212067</v>
      </c>
      <c r="J56" s="197">
        <f t="shared" si="3"/>
        <v>742.15952687232232</v>
      </c>
      <c r="K56" s="198">
        <f t="shared" si="13"/>
        <v>497.25</v>
      </c>
      <c r="L56" s="199">
        <f t="shared" si="14"/>
        <v>244.90952687232232</v>
      </c>
      <c r="M56" s="200">
        <f t="shared" si="7"/>
        <v>12.306812179704366</v>
      </c>
      <c r="N56" s="201">
        <f t="shared" si="8"/>
        <v>257.21633905202668</v>
      </c>
      <c r="O56" s="200">
        <v>0</v>
      </c>
      <c r="P56" s="200">
        <v>0</v>
      </c>
      <c r="Q56" s="200">
        <v>0</v>
      </c>
      <c r="R56" s="201">
        <f t="shared" si="9"/>
        <v>257.21633905202668</v>
      </c>
    </row>
    <row r="57" spans="1:18" x14ac:dyDescent="0.25">
      <c r="A57" s="153">
        <v>2</v>
      </c>
      <c r="B57" s="192">
        <f t="shared" si="5"/>
        <v>43497</v>
      </c>
      <c r="C57" s="216">
        <f t="shared" si="21"/>
        <v>43529</v>
      </c>
      <c r="D57" s="216">
        <f t="shared" si="21"/>
        <v>43544</v>
      </c>
      <c r="E57" s="202" t="s">
        <v>14</v>
      </c>
      <c r="F57" s="153">
        <v>9</v>
      </c>
      <c r="G57" s="195">
        <v>823</v>
      </c>
      <c r="H57" s="196">
        <f t="shared" si="22"/>
        <v>0.65</v>
      </c>
      <c r="I57" s="196">
        <f t="shared" si="2"/>
        <v>0.97014317238212067</v>
      </c>
      <c r="J57" s="197">
        <f t="shared" si="3"/>
        <v>798.42783087048531</v>
      </c>
      <c r="K57" s="198">
        <f t="shared" si="13"/>
        <v>534.95000000000005</v>
      </c>
      <c r="L57" s="199">
        <f t="shared" si="14"/>
        <v>263.47783087048526</v>
      </c>
      <c r="M57" s="200">
        <f t="shared" si="7"/>
        <v>13.239877678296331</v>
      </c>
      <c r="N57" s="201">
        <f t="shared" si="8"/>
        <v>276.71770854878162</v>
      </c>
      <c r="O57" s="200">
        <v>0</v>
      </c>
      <c r="P57" s="200">
        <v>0</v>
      </c>
      <c r="Q57" s="200">
        <v>0</v>
      </c>
      <c r="R57" s="201">
        <f t="shared" si="9"/>
        <v>276.71770854878162</v>
      </c>
    </row>
    <row r="58" spans="1:18" x14ac:dyDescent="0.25">
      <c r="A58" s="153">
        <v>3</v>
      </c>
      <c r="B58" s="192">
        <f t="shared" si="5"/>
        <v>43525</v>
      </c>
      <c r="C58" s="216">
        <f t="shared" si="21"/>
        <v>43558</v>
      </c>
      <c r="D58" s="216">
        <f t="shared" si="21"/>
        <v>43573</v>
      </c>
      <c r="E58" s="202" t="s">
        <v>14</v>
      </c>
      <c r="F58" s="153">
        <v>9</v>
      </c>
      <c r="G58" s="195">
        <v>810</v>
      </c>
      <c r="H58" s="196">
        <f t="shared" si="22"/>
        <v>0.65</v>
      </c>
      <c r="I58" s="196">
        <f t="shared" si="2"/>
        <v>0.97014317238212067</v>
      </c>
      <c r="J58" s="197">
        <f t="shared" si="3"/>
        <v>785.81596962951778</v>
      </c>
      <c r="K58" s="198">
        <f t="shared" si="13"/>
        <v>526.5</v>
      </c>
      <c r="L58" s="199">
        <f>+J58-K58</f>
        <v>259.31596962951778</v>
      </c>
      <c r="M58" s="200">
        <f t="shared" si="7"/>
        <v>13.030742307922271</v>
      </c>
      <c r="N58" s="201">
        <f t="shared" si="8"/>
        <v>272.34671193744003</v>
      </c>
      <c r="O58" s="200">
        <v>0</v>
      </c>
      <c r="P58" s="200">
        <v>0</v>
      </c>
      <c r="Q58" s="200">
        <v>0</v>
      </c>
      <c r="R58" s="201">
        <f t="shared" si="9"/>
        <v>272.34671193744003</v>
      </c>
    </row>
    <row r="59" spans="1:18" x14ac:dyDescent="0.25">
      <c r="A59" s="116">
        <v>4</v>
      </c>
      <c r="B59" s="192">
        <f t="shared" si="5"/>
        <v>43556</v>
      </c>
      <c r="C59" s="216">
        <f t="shared" si="21"/>
        <v>43588</v>
      </c>
      <c r="D59" s="216">
        <f t="shared" si="21"/>
        <v>43605</v>
      </c>
      <c r="E59" s="202" t="s">
        <v>14</v>
      </c>
      <c r="F59" s="153">
        <v>9</v>
      </c>
      <c r="G59" s="195">
        <v>488</v>
      </c>
      <c r="H59" s="196">
        <f t="shared" si="22"/>
        <v>0.65</v>
      </c>
      <c r="I59" s="196">
        <f t="shared" si="2"/>
        <v>0.97014317238212067</v>
      </c>
      <c r="J59" s="197">
        <f t="shared" si="3"/>
        <v>473.42986812247489</v>
      </c>
      <c r="K59" s="198">
        <f t="shared" si="13"/>
        <v>317.2</v>
      </c>
      <c r="L59" s="199">
        <f t="shared" ref="L59:L81" si="23">+J59-K59</f>
        <v>156.2298681224749</v>
      </c>
      <c r="M59" s="200">
        <f t="shared" si="7"/>
        <v>7.8506200571186016</v>
      </c>
      <c r="N59" s="201">
        <f t="shared" si="8"/>
        <v>164.08048817959349</v>
      </c>
      <c r="O59" s="200">
        <v>0</v>
      </c>
      <c r="P59" s="200">
        <v>0</v>
      </c>
      <c r="Q59" s="200">
        <v>0</v>
      </c>
      <c r="R59" s="201">
        <f t="shared" si="9"/>
        <v>164.08048817959349</v>
      </c>
    </row>
    <row r="60" spans="1:18" x14ac:dyDescent="0.25">
      <c r="A60" s="153">
        <v>5</v>
      </c>
      <c r="B60" s="192">
        <f t="shared" si="5"/>
        <v>43586</v>
      </c>
      <c r="C60" s="216">
        <f t="shared" si="21"/>
        <v>43621</v>
      </c>
      <c r="D60" s="216">
        <f t="shared" si="21"/>
        <v>43636</v>
      </c>
      <c r="E60" s="54" t="s">
        <v>14</v>
      </c>
      <c r="F60" s="153">
        <v>9</v>
      </c>
      <c r="G60" s="195">
        <v>697</v>
      </c>
      <c r="H60" s="196">
        <f t="shared" si="22"/>
        <v>0.65</v>
      </c>
      <c r="I60" s="196">
        <f t="shared" si="2"/>
        <v>0.97014317238212067</v>
      </c>
      <c r="J60" s="197">
        <f t="shared" si="3"/>
        <v>676.18979115033812</v>
      </c>
      <c r="K60" s="198">
        <f t="shared" si="13"/>
        <v>453.05</v>
      </c>
      <c r="L60" s="199">
        <f t="shared" si="23"/>
        <v>223.13979115033811</v>
      </c>
      <c r="M60" s="200">
        <f t="shared" si="7"/>
        <v>11.212873319286199</v>
      </c>
      <c r="N60" s="201">
        <f t="shared" si="8"/>
        <v>234.3526644696243</v>
      </c>
      <c r="O60" s="200">
        <v>0</v>
      </c>
      <c r="P60" s="200">
        <v>0</v>
      </c>
      <c r="Q60" s="200">
        <v>0</v>
      </c>
      <c r="R60" s="201">
        <f t="shared" si="9"/>
        <v>234.3526644696243</v>
      </c>
    </row>
    <row r="61" spans="1:18" x14ac:dyDescent="0.25">
      <c r="A61" s="153">
        <v>6</v>
      </c>
      <c r="B61" s="192">
        <f t="shared" si="5"/>
        <v>43617</v>
      </c>
      <c r="C61" s="216">
        <f t="shared" si="21"/>
        <v>43649</v>
      </c>
      <c r="D61" s="216">
        <f t="shared" si="21"/>
        <v>43664</v>
      </c>
      <c r="E61" s="54" t="s">
        <v>14</v>
      </c>
      <c r="F61" s="153">
        <v>9</v>
      </c>
      <c r="G61" s="195">
        <v>805</v>
      </c>
      <c r="H61" s="196">
        <f t="shared" si="22"/>
        <v>0.65</v>
      </c>
      <c r="I61" s="196">
        <f t="shared" si="2"/>
        <v>0.97014317238212067</v>
      </c>
      <c r="J61" s="197">
        <f t="shared" si="3"/>
        <v>780.96525376760712</v>
      </c>
      <c r="K61" s="198">
        <f t="shared" si="13"/>
        <v>523.25</v>
      </c>
      <c r="L61" s="203">
        <f t="shared" si="23"/>
        <v>257.71525376760712</v>
      </c>
      <c r="M61" s="200">
        <f t="shared" si="7"/>
        <v>12.950305627009168</v>
      </c>
      <c r="N61" s="201">
        <f t="shared" si="8"/>
        <v>270.66555939461631</v>
      </c>
      <c r="O61" s="200">
        <v>0</v>
      </c>
      <c r="P61" s="200">
        <v>0</v>
      </c>
      <c r="Q61" s="200">
        <v>0</v>
      </c>
      <c r="R61" s="201">
        <f t="shared" si="9"/>
        <v>270.66555939461631</v>
      </c>
    </row>
    <row r="62" spans="1:18" x14ac:dyDescent="0.25">
      <c r="A62" s="116">
        <v>7</v>
      </c>
      <c r="B62" s="192">
        <f t="shared" si="5"/>
        <v>43647</v>
      </c>
      <c r="C62" s="216">
        <f t="shared" si="21"/>
        <v>43682</v>
      </c>
      <c r="D62" s="216">
        <f t="shared" si="21"/>
        <v>43697</v>
      </c>
      <c r="E62" s="54" t="s">
        <v>14</v>
      </c>
      <c r="F62" s="153">
        <v>9</v>
      </c>
      <c r="G62" s="195">
        <v>840</v>
      </c>
      <c r="H62" s="196">
        <f t="shared" si="22"/>
        <v>0.65</v>
      </c>
      <c r="I62" s="196">
        <f t="shared" si="2"/>
        <v>0.97014317238212067</v>
      </c>
      <c r="J62" s="197">
        <f t="shared" si="3"/>
        <v>814.92026480098139</v>
      </c>
      <c r="K62" s="204">
        <f t="shared" si="13"/>
        <v>546</v>
      </c>
      <c r="L62" s="203">
        <f t="shared" si="23"/>
        <v>268.92026480098139</v>
      </c>
      <c r="M62" s="200">
        <f t="shared" si="7"/>
        <v>13.513362393400872</v>
      </c>
      <c r="N62" s="201">
        <f t="shared" si="8"/>
        <v>282.43362719438227</v>
      </c>
      <c r="O62" s="200">
        <v>0</v>
      </c>
      <c r="P62" s="200">
        <v>0</v>
      </c>
      <c r="Q62" s="200">
        <v>0</v>
      </c>
      <c r="R62" s="201">
        <f t="shared" si="9"/>
        <v>282.43362719438227</v>
      </c>
    </row>
    <row r="63" spans="1:18" x14ac:dyDescent="0.25">
      <c r="A63" s="153">
        <v>8</v>
      </c>
      <c r="B63" s="192">
        <f t="shared" si="5"/>
        <v>43678</v>
      </c>
      <c r="C63" s="216">
        <f t="shared" si="21"/>
        <v>43712</v>
      </c>
      <c r="D63" s="216">
        <f t="shared" si="21"/>
        <v>43727</v>
      </c>
      <c r="E63" s="54" t="s">
        <v>14</v>
      </c>
      <c r="F63" s="153">
        <v>9</v>
      </c>
      <c r="G63" s="195">
        <v>890</v>
      </c>
      <c r="H63" s="196">
        <f t="shared" si="10"/>
        <v>0.65</v>
      </c>
      <c r="I63" s="196">
        <f t="shared" si="2"/>
        <v>0.97014317238212067</v>
      </c>
      <c r="J63" s="197">
        <f t="shared" si="3"/>
        <v>863.42742342008739</v>
      </c>
      <c r="K63" s="204">
        <f t="shared" si="13"/>
        <v>578.5</v>
      </c>
      <c r="L63" s="203">
        <f t="shared" si="23"/>
        <v>284.92742342008739</v>
      </c>
      <c r="M63" s="200">
        <f t="shared" si="7"/>
        <v>14.317729202531876</v>
      </c>
      <c r="N63" s="201">
        <f t="shared" si="8"/>
        <v>299.24515262261929</v>
      </c>
      <c r="O63" s="200">
        <v>0</v>
      </c>
      <c r="P63" s="200">
        <v>0</v>
      </c>
      <c r="Q63" s="200">
        <v>0</v>
      </c>
      <c r="R63" s="201">
        <f t="shared" si="9"/>
        <v>299.24515262261929</v>
      </c>
    </row>
    <row r="64" spans="1:18" x14ac:dyDescent="0.25">
      <c r="A64" s="153">
        <v>9</v>
      </c>
      <c r="B64" s="192">
        <f t="shared" si="5"/>
        <v>43709</v>
      </c>
      <c r="C64" s="216">
        <f t="shared" si="21"/>
        <v>43741</v>
      </c>
      <c r="D64" s="216">
        <f t="shared" si="21"/>
        <v>43756</v>
      </c>
      <c r="E64" s="54" t="s">
        <v>14</v>
      </c>
      <c r="F64" s="153">
        <v>9</v>
      </c>
      <c r="G64" s="195">
        <v>818</v>
      </c>
      <c r="H64" s="196">
        <f t="shared" si="10"/>
        <v>0.65</v>
      </c>
      <c r="I64" s="196">
        <f t="shared" ref="I64:I107" si="24">$J$3</f>
        <v>0.97014317238212067</v>
      </c>
      <c r="J64" s="197">
        <f t="shared" si="3"/>
        <v>793.57711500857465</v>
      </c>
      <c r="K64" s="204">
        <f t="shared" si="13"/>
        <v>531.70000000000005</v>
      </c>
      <c r="L64" s="203">
        <f t="shared" si="23"/>
        <v>261.87711500857461</v>
      </c>
      <c r="M64" s="200">
        <f t="shared" si="7"/>
        <v>13.159440997383232</v>
      </c>
      <c r="N64" s="201">
        <f t="shared" si="8"/>
        <v>275.03655600595783</v>
      </c>
      <c r="O64" s="200">
        <v>0</v>
      </c>
      <c r="P64" s="200">
        <v>0</v>
      </c>
      <c r="Q64" s="200">
        <v>0</v>
      </c>
      <c r="R64" s="201">
        <f t="shared" si="9"/>
        <v>275.03655600595783</v>
      </c>
    </row>
    <row r="65" spans="1:18" x14ac:dyDescent="0.25">
      <c r="A65" s="116">
        <v>10</v>
      </c>
      <c r="B65" s="192">
        <f t="shared" si="5"/>
        <v>43739</v>
      </c>
      <c r="C65" s="216">
        <f t="shared" si="21"/>
        <v>43774</v>
      </c>
      <c r="D65" s="216">
        <f t="shared" si="21"/>
        <v>43789</v>
      </c>
      <c r="E65" s="54" t="s">
        <v>14</v>
      </c>
      <c r="F65" s="153">
        <v>9</v>
      </c>
      <c r="G65" s="195">
        <v>759</v>
      </c>
      <c r="H65" s="196">
        <f t="shared" si="10"/>
        <v>0.65</v>
      </c>
      <c r="I65" s="196">
        <f t="shared" si="24"/>
        <v>0.97014317238212067</v>
      </c>
      <c r="J65" s="197">
        <f t="shared" si="3"/>
        <v>736.33866783802955</v>
      </c>
      <c r="K65" s="204">
        <f t="shared" si="13"/>
        <v>493.35</v>
      </c>
      <c r="L65" s="203">
        <f t="shared" si="23"/>
        <v>242.98866783802953</v>
      </c>
      <c r="M65" s="200">
        <f t="shared" si="7"/>
        <v>12.210288162608645</v>
      </c>
      <c r="N65" s="201">
        <f t="shared" si="8"/>
        <v>255.19895600063816</v>
      </c>
      <c r="O65" s="200">
        <v>0</v>
      </c>
      <c r="P65" s="200">
        <v>0</v>
      </c>
      <c r="Q65" s="200">
        <v>0</v>
      </c>
      <c r="R65" s="201">
        <f t="shared" si="9"/>
        <v>255.19895600063816</v>
      </c>
    </row>
    <row r="66" spans="1:18" x14ac:dyDescent="0.25">
      <c r="A66" s="153">
        <v>11</v>
      </c>
      <c r="B66" s="192">
        <f t="shared" si="5"/>
        <v>43770</v>
      </c>
      <c r="C66" s="216">
        <f t="shared" si="21"/>
        <v>43803</v>
      </c>
      <c r="D66" s="216">
        <f t="shared" si="21"/>
        <v>43818</v>
      </c>
      <c r="E66" s="54" t="s">
        <v>14</v>
      </c>
      <c r="F66" s="153">
        <v>9</v>
      </c>
      <c r="G66" s="195">
        <v>740</v>
      </c>
      <c r="H66" s="196">
        <f t="shared" si="10"/>
        <v>0.65</v>
      </c>
      <c r="I66" s="196">
        <f t="shared" si="24"/>
        <v>0.97014317238212067</v>
      </c>
      <c r="J66" s="197">
        <f t="shared" si="3"/>
        <v>717.90594756276926</v>
      </c>
      <c r="K66" s="204">
        <f t="shared" si="13"/>
        <v>481</v>
      </c>
      <c r="L66" s="203">
        <f t="shared" si="23"/>
        <v>236.90594756276926</v>
      </c>
      <c r="M66" s="200">
        <f t="shared" si="7"/>
        <v>11.904628775138864</v>
      </c>
      <c r="N66" s="201">
        <f t="shared" si="8"/>
        <v>248.81057633790812</v>
      </c>
      <c r="O66" s="200">
        <v>0</v>
      </c>
      <c r="P66" s="200">
        <v>0</v>
      </c>
      <c r="Q66" s="200">
        <v>0</v>
      </c>
      <c r="R66" s="201">
        <f t="shared" si="9"/>
        <v>248.81057633790812</v>
      </c>
    </row>
    <row r="67" spans="1:18" s="220" customFormat="1" x14ac:dyDescent="0.25">
      <c r="A67" s="153">
        <v>12</v>
      </c>
      <c r="B67" s="218">
        <f t="shared" si="5"/>
        <v>43800</v>
      </c>
      <c r="C67" s="216">
        <f t="shared" si="21"/>
        <v>43833</v>
      </c>
      <c r="D67" s="216">
        <f t="shared" si="21"/>
        <v>43850</v>
      </c>
      <c r="E67" s="219" t="s">
        <v>14</v>
      </c>
      <c r="F67" s="164">
        <v>9</v>
      </c>
      <c r="G67" s="207">
        <v>752</v>
      </c>
      <c r="H67" s="208">
        <f t="shared" si="10"/>
        <v>0.65</v>
      </c>
      <c r="I67" s="208">
        <f t="shared" si="24"/>
        <v>0.97014317238212067</v>
      </c>
      <c r="J67" s="209">
        <f t="shared" si="3"/>
        <v>729.54766563135479</v>
      </c>
      <c r="K67" s="210">
        <f t="shared" si="13"/>
        <v>488.8</v>
      </c>
      <c r="L67" s="211">
        <f t="shared" si="23"/>
        <v>240.74766563135478</v>
      </c>
      <c r="M67" s="200">
        <f t="shared" si="7"/>
        <v>12.097676809330304</v>
      </c>
      <c r="N67" s="201">
        <f t="shared" si="8"/>
        <v>252.84534244068507</v>
      </c>
      <c r="O67" s="200">
        <v>0</v>
      </c>
      <c r="P67" s="200">
        <v>0</v>
      </c>
      <c r="Q67" s="200">
        <v>0</v>
      </c>
      <c r="R67" s="201">
        <f t="shared" si="9"/>
        <v>252.84534244068507</v>
      </c>
    </row>
    <row r="68" spans="1:18" x14ac:dyDescent="0.25">
      <c r="A68" s="116">
        <v>1</v>
      </c>
      <c r="B68" s="192">
        <f t="shared" si="5"/>
        <v>43466</v>
      </c>
      <c r="C68" s="213">
        <f t="shared" ref="C68:D79" si="25">+C56</f>
        <v>43501</v>
      </c>
      <c r="D68" s="213">
        <f t="shared" si="25"/>
        <v>43516</v>
      </c>
      <c r="E68" s="194" t="s">
        <v>85</v>
      </c>
      <c r="F68" s="116">
        <v>9</v>
      </c>
      <c r="G68" s="195">
        <v>38</v>
      </c>
      <c r="H68" s="196">
        <f t="shared" ref="H68:H74" si="26">+$K$6</f>
        <v>0.65</v>
      </c>
      <c r="I68" s="196">
        <f t="shared" si="24"/>
        <v>0.97014317238212067</v>
      </c>
      <c r="J68" s="197">
        <f t="shared" si="3"/>
        <v>36.865440550520589</v>
      </c>
      <c r="K68" s="198">
        <f t="shared" si="13"/>
        <v>24.7</v>
      </c>
      <c r="L68" s="199">
        <f t="shared" si="23"/>
        <v>12.165440550520589</v>
      </c>
      <c r="M68" s="200">
        <f t="shared" si="7"/>
        <v>0.61131877493956333</v>
      </c>
      <c r="N68" s="201">
        <f t="shared" si="8"/>
        <v>12.776759325460153</v>
      </c>
      <c r="O68" s="200">
        <v>0</v>
      </c>
      <c r="P68" s="200">
        <v>0</v>
      </c>
      <c r="Q68" s="200">
        <v>0</v>
      </c>
      <c r="R68" s="201">
        <f t="shared" si="9"/>
        <v>12.776759325460153</v>
      </c>
    </row>
    <row r="69" spans="1:18" x14ac:dyDescent="0.25">
      <c r="A69" s="153">
        <v>2</v>
      </c>
      <c r="B69" s="192">
        <f t="shared" si="5"/>
        <v>43497</v>
      </c>
      <c r="C69" s="216">
        <f t="shared" si="25"/>
        <v>43529</v>
      </c>
      <c r="D69" s="216">
        <f t="shared" si="25"/>
        <v>43544</v>
      </c>
      <c r="E69" s="202" t="s">
        <v>85</v>
      </c>
      <c r="F69" s="153">
        <v>9</v>
      </c>
      <c r="G69" s="195">
        <v>43</v>
      </c>
      <c r="H69" s="196">
        <f t="shared" si="26"/>
        <v>0.65</v>
      </c>
      <c r="I69" s="196">
        <f t="shared" si="24"/>
        <v>0.97014317238212067</v>
      </c>
      <c r="J69" s="197">
        <f t="shared" si="3"/>
        <v>41.716156412431189</v>
      </c>
      <c r="K69" s="198">
        <f t="shared" si="13"/>
        <v>27.95</v>
      </c>
      <c r="L69" s="199">
        <f t="shared" si="23"/>
        <v>13.76615641243119</v>
      </c>
      <c r="M69" s="200">
        <f t="shared" si="7"/>
        <v>0.69175545585266374</v>
      </c>
      <c r="N69" s="201">
        <f t="shared" si="8"/>
        <v>14.457911868283855</v>
      </c>
      <c r="O69" s="200">
        <v>0</v>
      </c>
      <c r="P69" s="200">
        <v>0</v>
      </c>
      <c r="Q69" s="200">
        <v>0</v>
      </c>
      <c r="R69" s="201">
        <f t="shared" si="9"/>
        <v>14.457911868283855</v>
      </c>
    </row>
    <row r="70" spans="1:18" x14ac:dyDescent="0.25">
      <c r="A70" s="153">
        <v>3</v>
      </c>
      <c r="B70" s="192">
        <f t="shared" si="5"/>
        <v>43525</v>
      </c>
      <c r="C70" s="216">
        <f t="shared" si="25"/>
        <v>43558</v>
      </c>
      <c r="D70" s="216">
        <f t="shared" si="25"/>
        <v>43573</v>
      </c>
      <c r="E70" s="202" t="s">
        <v>85</v>
      </c>
      <c r="F70" s="153">
        <v>9</v>
      </c>
      <c r="G70" s="195">
        <v>45</v>
      </c>
      <c r="H70" s="196">
        <f t="shared" si="26"/>
        <v>0.65</v>
      </c>
      <c r="I70" s="196">
        <f t="shared" si="24"/>
        <v>0.97014317238212067</v>
      </c>
      <c r="J70" s="197">
        <f t="shared" si="3"/>
        <v>43.656442757195428</v>
      </c>
      <c r="K70" s="198">
        <f t="shared" si="13"/>
        <v>29.25</v>
      </c>
      <c r="L70" s="199">
        <f>+J70-K70</f>
        <v>14.406442757195428</v>
      </c>
      <c r="M70" s="200">
        <f t="shared" si="7"/>
        <v>0.72393012821790381</v>
      </c>
      <c r="N70" s="201">
        <f t="shared" si="8"/>
        <v>15.130372885413331</v>
      </c>
      <c r="O70" s="200">
        <v>0</v>
      </c>
      <c r="P70" s="200">
        <v>0</v>
      </c>
      <c r="Q70" s="200">
        <v>0</v>
      </c>
      <c r="R70" s="201">
        <f t="shared" si="9"/>
        <v>15.130372885413331</v>
      </c>
    </row>
    <row r="71" spans="1:18" x14ac:dyDescent="0.25">
      <c r="A71" s="116">
        <v>4</v>
      </c>
      <c r="B71" s="192">
        <f t="shared" si="5"/>
        <v>43556</v>
      </c>
      <c r="C71" s="216">
        <f t="shared" si="25"/>
        <v>43588</v>
      </c>
      <c r="D71" s="216">
        <f t="shared" si="25"/>
        <v>43605</v>
      </c>
      <c r="E71" s="202" t="s">
        <v>85</v>
      </c>
      <c r="F71" s="153">
        <v>9</v>
      </c>
      <c r="G71" s="195">
        <v>22</v>
      </c>
      <c r="H71" s="196">
        <f t="shared" si="26"/>
        <v>0.65</v>
      </c>
      <c r="I71" s="196">
        <f t="shared" si="24"/>
        <v>0.97014317238212067</v>
      </c>
      <c r="J71" s="197">
        <f t="shared" si="3"/>
        <v>21.343149792406656</v>
      </c>
      <c r="K71" s="198">
        <f t="shared" si="13"/>
        <v>14.3</v>
      </c>
      <c r="L71" s="199">
        <f t="shared" ref="L71:L79" si="27">+J71-K71</f>
        <v>7.0431497924066555</v>
      </c>
      <c r="M71" s="200">
        <f t="shared" si="7"/>
        <v>0.35392139601764189</v>
      </c>
      <c r="N71" s="201">
        <f t="shared" si="8"/>
        <v>7.397071188424297</v>
      </c>
      <c r="O71" s="200">
        <v>0</v>
      </c>
      <c r="P71" s="200">
        <v>0</v>
      </c>
      <c r="Q71" s="200">
        <v>0</v>
      </c>
      <c r="R71" s="201">
        <f t="shared" si="9"/>
        <v>7.397071188424297</v>
      </c>
    </row>
    <row r="72" spans="1:18" x14ac:dyDescent="0.25">
      <c r="A72" s="153">
        <v>5</v>
      </c>
      <c r="B72" s="192">
        <f t="shared" si="5"/>
        <v>43586</v>
      </c>
      <c r="C72" s="216">
        <f t="shared" si="25"/>
        <v>43621</v>
      </c>
      <c r="D72" s="216">
        <f t="shared" si="25"/>
        <v>43636</v>
      </c>
      <c r="E72" s="202" t="s">
        <v>85</v>
      </c>
      <c r="F72" s="153">
        <v>9</v>
      </c>
      <c r="G72" s="195">
        <v>31</v>
      </c>
      <c r="H72" s="196">
        <f t="shared" si="26"/>
        <v>0.65</v>
      </c>
      <c r="I72" s="196">
        <f t="shared" si="24"/>
        <v>0.97014317238212067</v>
      </c>
      <c r="J72" s="197">
        <f t="shared" si="3"/>
        <v>30.074438343845742</v>
      </c>
      <c r="K72" s="198">
        <f t="shared" si="13"/>
        <v>20.150000000000002</v>
      </c>
      <c r="L72" s="199">
        <f t="shared" si="27"/>
        <v>9.9244383438457398</v>
      </c>
      <c r="M72" s="200">
        <f t="shared" si="7"/>
        <v>0.49870742166122267</v>
      </c>
      <c r="N72" s="201">
        <f t="shared" si="8"/>
        <v>10.423145765506963</v>
      </c>
      <c r="O72" s="200">
        <v>0</v>
      </c>
      <c r="P72" s="200">
        <v>0</v>
      </c>
      <c r="Q72" s="200">
        <v>0</v>
      </c>
      <c r="R72" s="201">
        <f t="shared" si="9"/>
        <v>10.423145765506963</v>
      </c>
    </row>
    <row r="73" spans="1:18" x14ac:dyDescent="0.25">
      <c r="A73" s="153">
        <v>6</v>
      </c>
      <c r="B73" s="192">
        <f t="shared" si="5"/>
        <v>43617</v>
      </c>
      <c r="C73" s="216">
        <f t="shared" si="25"/>
        <v>43649</v>
      </c>
      <c r="D73" s="216">
        <f t="shared" si="25"/>
        <v>43664</v>
      </c>
      <c r="E73" s="202" t="s">
        <v>85</v>
      </c>
      <c r="F73" s="153">
        <v>9</v>
      </c>
      <c r="G73" s="195">
        <v>44</v>
      </c>
      <c r="H73" s="196">
        <f t="shared" si="26"/>
        <v>0.65</v>
      </c>
      <c r="I73" s="196">
        <f t="shared" si="24"/>
        <v>0.97014317238212067</v>
      </c>
      <c r="J73" s="197">
        <f t="shared" si="3"/>
        <v>42.686299584813312</v>
      </c>
      <c r="K73" s="198">
        <f t="shared" si="13"/>
        <v>28.6</v>
      </c>
      <c r="L73" s="203">
        <f t="shared" si="27"/>
        <v>14.086299584813311</v>
      </c>
      <c r="M73" s="200">
        <f t="shared" si="7"/>
        <v>0.70784279203528377</v>
      </c>
      <c r="N73" s="201">
        <f t="shared" si="8"/>
        <v>14.794142376848594</v>
      </c>
      <c r="O73" s="200">
        <v>0</v>
      </c>
      <c r="P73" s="200">
        <v>0</v>
      </c>
      <c r="Q73" s="200">
        <v>0</v>
      </c>
      <c r="R73" s="201">
        <f t="shared" si="9"/>
        <v>14.794142376848594</v>
      </c>
    </row>
    <row r="74" spans="1:18" x14ac:dyDescent="0.25">
      <c r="A74" s="116">
        <v>7</v>
      </c>
      <c r="B74" s="192">
        <f t="shared" si="5"/>
        <v>43647</v>
      </c>
      <c r="C74" s="216">
        <f t="shared" si="25"/>
        <v>43682</v>
      </c>
      <c r="D74" s="216">
        <f t="shared" si="25"/>
        <v>43697</v>
      </c>
      <c r="E74" s="202" t="s">
        <v>85</v>
      </c>
      <c r="F74" s="153">
        <v>9</v>
      </c>
      <c r="G74" s="195">
        <v>47</v>
      </c>
      <c r="H74" s="196">
        <f t="shared" si="26"/>
        <v>0.65</v>
      </c>
      <c r="I74" s="196">
        <f t="shared" si="24"/>
        <v>0.97014317238212067</v>
      </c>
      <c r="J74" s="197">
        <f t="shared" si="3"/>
        <v>45.596729101959674</v>
      </c>
      <c r="K74" s="204">
        <f t="shared" si="13"/>
        <v>30.55</v>
      </c>
      <c r="L74" s="203">
        <f t="shared" si="27"/>
        <v>15.046729101959674</v>
      </c>
      <c r="M74" s="200">
        <f t="shared" si="7"/>
        <v>0.756104800583144</v>
      </c>
      <c r="N74" s="201">
        <f t="shared" si="8"/>
        <v>15.802833902542817</v>
      </c>
      <c r="O74" s="200">
        <v>0</v>
      </c>
      <c r="P74" s="200">
        <v>0</v>
      </c>
      <c r="Q74" s="200">
        <v>0</v>
      </c>
      <c r="R74" s="201">
        <f t="shared" si="9"/>
        <v>15.802833902542817</v>
      </c>
    </row>
    <row r="75" spans="1:18" x14ac:dyDescent="0.25">
      <c r="A75" s="153">
        <v>8</v>
      </c>
      <c r="B75" s="192">
        <f t="shared" si="5"/>
        <v>43678</v>
      </c>
      <c r="C75" s="216">
        <f t="shared" si="25"/>
        <v>43712</v>
      </c>
      <c r="D75" s="216">
        <f t="shared" si="25"/>
        <v>43727</v>
      </c>
      <c r="E75" s="202" t="s">
        <v>85</v>
      </c>
      <c r="F75" s="153">
        <v>9</v>
      </c>
      <c r="G75" s="195">
        <v>50</v>
      </c>
      <c r="H75" s="196">
        <f t="shared" si="10"/>
        <v>0.65</v>
      </c>
      <c r="I75" s="196">
        <f t="shared" si="24"/>
        <v>0.97014317238212067</v>
      </c>
      <c r="J75" s="197">
        <f t="shared" si="3"/>
        <v>48.507158619106036</v>
      </c>
      <c r="K75" s="204">
        <f t="shared" si="13"/>
        <v>32.5</v>
      </c>
      <c r="L75" s="203">
        <f t="shared" si="27"/>
        <v>16.007158619106036</v>
      </c>
      <c r="M75" s="200">
        <f t="shared" si="7"/>
        <v>0.80436680913100433</v>
      </c>
      <c r="N75" s="201">
        <f t="shared" si="8"/>
        <v>16.81152542823704</v>
      </c>
      <c r="O75" s="200">
        <v>0</v>
      </c>
      <c r="P75" s="200">
        <v>0</v>
      </c>
      <c r="Q75" s="200">
        <v>0</v>
      </c>
      <c r="R75" s="201">
        <f t="shared" si="9"/>
        <v>16.81152542823704</v>
      </c>
    </row>
    <row r="76" spans="1:18" x14ac:dyDescent="0.25">
      <c r="A76" s="153">
        <v>9</v>
      </c>
      <c r="B76" s="192">
        <f t="shared" si="5"/>
        <v>43709</v>
      </c>
      <c r="C76" s="216">
        <f t="shared" si="25"/>
        <v>43741</v>
      </c>
      <c r="D76" s="216">
        <f t="shared" si="25"/>
        <v>43756</v>
      </c>
      <c r="E76" s="202" t="s">
        <v>85</v>
      </c>
      <c r="F76" s="153">
        <v>9</v>
      </c>
      <c r="G76" s="195">
        <v>45</v>
      </c>
      <c r="H76" s="196">
        <f t="shared" si="10"/>
        <v>0.65</v>
      </c>
      <c r="I76" s="196">
        <f t="shared" si="24"/>
        <v>0.97014317238212067</v>
      </c>
      <c r="J76" s="197">
        <f t="shared" si="3"/>
        <v>43.656442757195428</v>
      </c>
      <c r="K76" s="204">
        <f t="shared" si="13"/>
        <v>29.25</v>
      </c>
      <c r="L76" s="203">
        <f t="shared" si="27"/>
        <v>14.406442757195428</v>
      </c>
      <c r="M76" s="200">
        <f t="shared" si="7"/>
        <v>0.72393012821790381</v>
      </c>
      <c r="N76" s="201">
        <f t="shared" si="8"/>
        <v>15.130372885413331</v>
      </c>
      <c r="O76" s="200">
        <v>0</v>
      </c>
      <c r="P76" s="200">
        <v>0</v>
      </c>
      <c r="Q76" s="200">
        <v>0</v>
      </c>
      <c r="R76" s="201">
        <f t="shared" si="9"/>
        <v>15.130372885413331</v>
      </c>
    </row>
    <row r="77" spans="1:18" x14ac:dyDescent="0.25">
      <c r="A77" s="116">
        <v>10</v>
      </c>
      <c r="B77" s="192">
        <f t="shared" si="5"/>
        <v>43739</v>
      </c>
      <c r="C77" s="216">
        <f t="shared" si="25"/>
        <v>43774</v>
      </c>
      <c r="D77" s="216">
        <f t="shared" si="25"/>
        <v>43789</v>
      </c>
      <c r="E77" s="202" t="s">
        <v>85</v>
      </c>
      <c r="F77" s="153">
        <v>9</v>
      </c>
      <c r="G77" s="195">
        <v>37</v>
      </c>
      <c r="H77" s="196">
        <f t="shared" si="10"/>
        <v>0.65</v>
      </c>
      <c r="I77" s="196">
        <f t="shared" si="24"/>
        <v>0.97014317238212067</v>
      </c>
      <c r="J77" s="197">
        <f t="shared" si="3"/>
        <v>35.895297378138466</v>
      </c>
      <c r="K77" s="204">
        <f t="shared" si="13"/>
        <v>24.05</v>
      </c>
      <c r="L77" s="203">
        <f t="shared" si="27"/>
        <v>11.845297378138465</v>
      </c>
      <c r="M77" s="200">
        <f t="shared" si="7"/>
        <v>0.59523143875694318</v>
      </c>
      <c r="N77" s="201">
        <f t="shared" si="8"/>
        <v>12.440528816895409</v>
      </c>
      <c r="O77" s="200">
        <v>0</v>
      </c>
      <c r="P77" s="200">
        <v>0</v>
      </c>
      <c r="Q77" s="200">
        <v>0</v>
      </c>
      <c r="R77" s="201">
        <f t="shared" si="9"/>
        <v>12.440528816895409</v>
      </c>
    </row>
    <row r="78" spans="1:18" x14ac:dyDescent="0.25">
      <c r="A78" s="153">
        <v>11</v>
      </c>
      <c r="B78" s="192">
        <f t="shared" si="5"/>
        <v>43770</v>
      </c>
      <c r="C78" s="216">
        <f t="shared" si="25"/>
        <v>43803</v>
      </c>
      <c r="D78" s="216">
        <f t="shared" si="25"/>
        <v>43818</v>
      </c>
      <c r="E78" s="202" t="s">
        <v>85</v>
      </c>
      <c r="F78" s="153">
        <v>9</v>
      </c>
      <c r="G78" s="195">
        <v>38</v>
      </c>
      <c r="H78" s="196">
        <f t="shared" si="10"/>
        <v>0.65</v>
      </c>
      <c r="I78" s="196">
        <f t="shared" si="24"/>
        <v>0.97014317238212067</v>
      </c>
      <c r="J78" s="197">
        <f t="shared" si="3"/>
        <v>36.865440550520589</v>
      </c>
      <c r="K78" s="204">
        <f>+$G78*H78</f>
        <v>24.7</v>
      </c>
      <c r="L78" s="203">
        <f t="shared" si="27"/>
        <v>12.165440550520589</v>
      </c>
      <c r="M78" s="200">
        <f t="shared" si="7"/>
        <v>0.61131877493956333</v>
      </c>
      <c r="N78" s="201">
        <f t="shared" si="8"/>
        <v>12.776759325460153</v>
      </c>
      <c r="O78" s="200">
        <v>0</v>
      </c>
      <c r="P78" s="200">
        <v>0</v>
      </c>
      <c r="Q78" s="200">
        <v>0</v>
      </c>
      <c r="R78" s="201">
        <f t="shared" si="9"/>
        <v>12.776759325460153</v>
      </c>
    </row>
    <row r="79" spans="1:18" s="220" customFormat="1" x14ac:dyDescent="0.25">
      <c r="A79" s="153">
        <v>12</v>
      </c>
      <c r="B79" s="218">
        <f t="shared" si="5"/>
        <v>43800</v>
      </c>
      <c r="C79" s="221">
        <f t="shared" si="25"/>
        <v>43833</v>
      </c>
      <c r="D79" s="221">
        <f t="shared" si="25"/>
        <v>43850</v>
      </c>
      <c r="E79" s="222" t="s">
        <v>85</v>
      </c>
      <c r="F79" s="164">
        <v>9</v>
      </c>
      <c r="G79" s="207">
        <v>38</v>
      </c>
      <c r="H79" s="208">
        <f t="shared" si="10"/>
        <v>0.65</v>
      </c>
      <c r="I79" s="208">
        <f t="shared" si="24"/>
        <v>0.97014317238212067</v>
      </c>
      <c r="J79" s="209">
        <f t="shared" si="3"/>
        <v>36.865440550520589</v>
      </c>
      <c r="K79" s="210">
        <f>+$G79*H79</f>
        <v>24.7</v>
      </c>
      <c r="L79" s="211">
        <f t="shared" si="27"/>
        <v>12.165440550520589</v>
      </c>
      <c r="M79" s="200">
        <f t="shared" si="7"/>
        <v>0.61131877493956333</v>
      </c>
      <c r="N79" s="201">
        <f t="shared" si="8"/>
        <v>12.776759325460153</v>
      </c>
      <c r="O79" s="200">
        <v>0</v>
      </c>
      <c r="P79" s="200">
        <v>0</v>
      </c>
      <c r="Q79" s="200">
        <v>0</v>
      </c>
      <c r="R79" s="201">
        <f t="shared" si="9"/>
        <v>12.776759325460153</v>
      </c>
    </row>
    <row r="80" spans="1:18" s="52" customFormat="1" ht="12.75" customHeight="1" x14ac:dyDescent="0.25">
      <c r="A80" s="116">
        <v>1</v>
      </c>
      <c r="B80" s="192">
        <f t="shared" si="5"/>
        <v>43466</v>
      </c>
      <c r="C80" s="213">
        <f t="shared" ref="C80:D91" si="28">+C56</f>
        <v>43501</v>
      </c>
      <c r="D80" s="213">
        <f t="shared" si="28"/>
        <v>43516</v>
      </c>
      <c r="E80" s="194" t="s">
        <v>9</v>
      </c>
      <c r="F80" s="116">
        <v>9</v>
      </c>
      <c r="G80" s="195">
        <v>40</v>
      </c>
      <c r="H80" s="196">
        <f t="shared" ref="H80:H86" si="29">+$K$6</f>
        <v>0.65</v>
      </c>
      <c r="I80" s="196">
        <f t="shared" si="24"/>
        <v>0.97014317238212067</v>
      </c>
      <c r="J80" s="197">
        <f t="shared" si="3"/>
        <v>38.805726895284828</v>
      </c>
      <c r="K80" s="198">
        <f t="shared" si="13"/>
        <v>26</v>
      </c>
      <c r="L80" s="199">
        <f t="shared" si="23"/>
        <v>12.805726895284828</v>
      </c>
      <c r="M80" s="200">
        <f t="shared" si="7"/>
        <v>0.6434934473048034</v>
      </c>
      <c r="N80" s="201">
        <f t="shared" si="8"/>
        <v>13.449220342589632</v>
      </c>
      <c r="O80" s="200">
        <v>0</v>
      </c>
      <c r="P80" s="200">
        <v>0</v>
      </c>
      <c r="Q80" s="200">
        <v>0</v>
      </c>
      <c r="R80" s="201">
        <f t="shared" si="9"/>
        <v>13.449220342589632</v>
      </c>
    </row>
    <row r="81" spans="1:18" x14ac:dyDescent="0.25">
      <c r="A81" s="153">
        <v>2</v>
      </c>
      <c r="B81" s="192">
        <f t="shared" si="5"/>
        <v>43497</v>
      </c>
      <c r="C81" s="216">
        <f t="shared" si="28"/>
        <v>43529</v>
      </c>
      <c r="D81" s="216">
        <f t="shared" si="28"/>
        <v>43544</v>
      </c>
      <c r="E81" s="202" t="s">
        <v>9</v>
      </c>
      <c r="F81" s="153">
        <v>9</v>
      </c>
      <c r="G81" s="195">
        <v>40</v>
      </c>
      <c r="H81" s="196">
        <f t="shared" si="29"/>
        <v>0.65</v>
      </c>
      <c r="I81" s="196">
        <f t="shared" si="24"/>
        <v>0.97014317238212067</v>
      </c>
      <c r="J81" s="197">
        <f t="shared" si="3"/>
        <v>38.805726895284828</v>
      </c>
      <c r="K81" s="198">
        <f t="shared" si="13"/>
        <v>26</v>
      </c>
      <c r="L81" s="199">
        <f t="shared" si="23"/>
        <v>12.805726895284828</v>
      </c>
      <c r="M81" s="200">
        <f t="shared" si="7"/>
        <v>0.6434934473048034</v>
      </c>
      <c r="N81" s="201">
        <f t="shared" si="8"/>
        <v>13.449220342589632</v>
      </c>
      <c r="O81" s="200">
        <v>0</v>
      </c>
      <c r="P81" s="200">
        <v>0</v>
      </c>
      <c r="Q81" s="200">
        <v>0</v>
      </c>
      <c r="R81" s="201">
        <f t="shared" si="9"/>
        <v>13.449220342589632</v>
      </c>
    </row>
    <row r="82" spans="1:18" x14ac:dyDescent="0.25">
      <c r="A82" s="153">
        <v>3</v>
      </c>
      <c r="B82" s="192">
        <f t="shared" si="5"/>
        <v>43525</v>
      </c>
      <c r="C82" s="216">
        <f t="shared" si="28"/>
        <v>43558</v>
      </c>
      <c r="D82" s="216">
        <f t="shared" si="28"/>
        <v>43573</v>
      </c>
      <c r="E82" s="202" t="s">
        <v>9</v>
      </c>
      <c r="F82" s="153">
        <v>9</v>
      </c>
      <c r="G82" s="195">
        <v>43</v>
      </c>
      <c r="H82" s="196">
        <f t="shared" si="29"/>
        <v>0.65</v>
      </c>
      <c r="I82" s="196">
        <f t="shared" si="24"/>
        <v>0.97014317238212067</v>
      </c>
      <c r="J82" s="197">
        <f t="shared" si="3"/>
        <v>41.716156412431189</v>
      </c>
      <c r="K82" s="198">
        <f t="shared" si="13"/>
        <v>27.95</v>
      </c>
      <c r="L82" s="199">
        <f>+J82-K82</f>
        <v>13.76615641243119</v>
      </c>
      <c r="M82" s="200">
        <f t="shared" si="7"/>
        <v>0.69175545585266374</v>
      </c>
      <c r="N82" s="201">
        <f t="shared" si="8"/>
        <v>14.457911868283855</v>
      </c>
      <c r="O82" s="200">
        <v>0</v>
      </c>
      <c r="P82" s="200">
        <v>0</v>
      </c>
      <c r="Q82" s="200">
        <v>0</v>
      </c>
      <c r="R82" s="201">
        <f t="shared" si="9"/>
        <v>14.457911868283855</v>
      </c>
    </row>
    <row r="83" spans="1:18" ht="12" customHeight="1" x14ac:dyDescent="0.25">
      <c r="A83" s="116">
        <v>4</v>
      </c>
      <c r="B83" s="192">
        <f t="shared" si="5"/>
        <v>43556</v>
      </c>
      <c r="C83" s="216">
        <f t="shared" si="28"/>
        <v>43588</v>
      </c>
      <c r="D83" s="216">
        <f t="shared" si="28"/>
        <v>43605</v>
      </c>
      <c r="E83" s="54" t="s">
        <v>9</v>
      </c>
      <c r="F83" s="153">
        <v>9</v>
      </c>
      <c r="G83" s="195">
        <v>27</v>
      </c>
      <c r="H83" s="196">
        <f t="shared" si="29"/>
        <v>0.65</v>
      </c>
      <c r="I83" s="196">
        <f t="shared" si="24"/>
        <v>0.97014317238212067</v>
      </c>
      <c r="J83" s="197">
        <f t="shared" si="3"/>
        <v>26.193865654317257</v>
      </c>
      <c r="K83" s="198">
        <f t="shared" si="13"/>
        <v>17.55</v>
      </c>
      <c r="L83" s="199">
        <f t="shared" ref="L83:L93" si="30">+J83-K83</f>
        <v>8.6438656543172563</v>
      </c>
      <c r="M83" s="200">
        <f t="shared" si="7"/>
        <v>0.43435807693074235</v>
      </c>
      <c r="N83" s="201">
        <f t="shared" si="8"/>
        <v>9.0782237312479985</v>
      </c>
      <c r="O83" s="200">
        <v>0</v>
      </c>
      <c r="P83" s="200">
        <v>0</v>
      </c>
      <c r="Q83" s="200">
        <v>0</v>
      </c>
      <c r="R83" s="201">
        <f t="shared" si="9"/>
        <v>9.0782237312479985</v>
      </c>
    </row>
    <row r="84" spans="1:18" ht="12" customHeight="1" x14ac:dyDescent="0.25">
      <c r="A84" s="153">
        <v>5</v>
      </c>
      <c r="B84" s="192">
        <f t="shared" si="5"/>
        <v>43586</v>
      </c>
      <c r="C84" s="216">
        <f t="shared" si="28"/>
        <v>43621</v>
      </c>
      <c r="D84" s="216">
        <f t="shared" si="28"/>
        <v>43636</v>
      </c>
      <c r="E84" s="54" t="s">
        <v>9</v>
      </c>
      <c r="F84" s="153">
        <v>9</v>
      </c>
      <c r="G84" s="195">
        <v>33</v>
      </c>
      <c r="H84" s="196">
        <f t="shared" si="29"/>
        <v>0.65</v>
      </c>
      <c r="I84" s="196">
        <f t="shared" si="24"/>
        <v>0.97014317238212067</v>
      </c>
      <c r="J84" s="197">
        <f t="shared" si="3"/>
        <v>32.014724688609981</v>
      </c>
      <c r="K84" s="198">
        <f t="shared" si="13"/>
        <v>21.45</v>
      </c>
      <c r="L84" s="199">
        <f t="shared" si="30"/>
        <v>10.564724688609981</v>
      </c>
      <c r="M84" s="200">
        <f t="shared" si="7"/>
        <v>0.53088209402646291</v>
      </c>
      <c r="N84" s="201">
        <f t="shared" si="8"/>
        <v>11.095606782636445</v>
      </c>
      <c r="O84" s="200">
        <v>0</v>
      </c>
      <c r="P84" s="200">
        <v>0</v>
      </c>
      <c r="Q84" s="200">
        <v>0</v>
      </c>
      <c r="R84" s="201">
        <f t="shared" si="9"/>
        <v>11.095606782636445</v>
      </c>
    </row>
    <row r="85" spans="1:18" x14ac:dyDescent="0.25">
      <c r="A85" s="153">
        <v>6</v>
      </c>
      <c r="B85" s="192">
        <f t="shared" si="5"/>
        <v>43617</v>
      </c>
      <c r="C85" s="216">
        <f t="shared" si="28"/>
        <v>43649</v>
      </c>
      <c r="D85" s="216">
        <f t="shared" si="28"/>
        <v>43664</v>
      </c>
      <c r="E85" s="54" t="s">
        <v>9</v>
      </c>
      <c r="F85" s="153">
        <v>9</v>
      </c>
      <c r="G85" s="195">
        <v>39</v>
      </c>
      <c r="H85" s="196">
        <f t="shared" si="29"/>
        <v>0.65</v>
      </c>
      <c r="I85" s="196">
        <f t="shared" si="24"/>
        <v>0.97014317238212067</v>
      </c>
      <c r="J85" s="197">
        <f t="shared" si="3"/>
        <v>37.835583722902705</v>
      </c>
      <c r="K85" s="198">
        <f t="shared" si="13"/>
        <v>25.35</v>
      </c>
      <c r="L85" s="203">
        <f t="shared" si="30"/>
        <v>12.485583722902703</v>
      </c>
      <c r="M85" s="200">
        <f t="shared" ref="M85:M148" si="31">G85/$G$212*$M$14</f>
        <v>0.62740611112218336</v>
      </c>
      <c r="N85" s="201">
        <f t="shared" ref="N85:N148" si="32">SUM(L85:M85)</f>
        <v>13.112989834024887</v>
      </c>
      <c r="O85" s="200">
        <v>0</v>
      </c>
      <c r="P85" s="200">
        <v>0</v>
      </c>
      <c r="Q85" s="200">
        <v>0</v>
      </c>
      <c r="R85" s="201">
        <f t="shared" ref="R85:R148" si="33">+N85-Q85</f>
        <v>13.112989834024887</v>
      </c>
    </row>
    <row r="86" spans="1:18" x14ac:dyDescent="0.25">
      <c r="A86" s="116">
        <v>7</v>
      </c>
      <c r="B86" s="192">
        <f t="shared" si="5"/>
        <v>43647</v>
      </c>
      <c r="C86" s="216">
        <f t="shared" si="28"/>
        <v>43682</v>
      </c>
      <c r="D86" s="216">
        <f t="shared" si="28"/>
        <v>43697</v>
      </c>
      <c r="E86" s="54" t="s">
        <v>9</v>
      </c>
      <c r="F86" s="153">
        <v>9</v>
      </c>
      <c r="G86" s="195">
        <v>39</v>
      </c>
      <c r="H86" s="196">
        <f t="shared" si="29"/>
        <v>0.65</v>
      </c>
      <c r="I86" s="196">
        <f t="shared" si="24"/>
        <v>0.97014317238212067</v>
      </c>
      <c r="J86" s="197">
        <f t="shared" si="3"/>
        <v>37.835583722902705</v>
      </c>
      <c r="K86" s="204">
        <f t="shared" si="13"/>
        <v>25.35</v>
      </c>
      <c r="L86" s="203">
        <f t="shared" si="30"/>
        <v>12.485583722902703</v>
      </c>
      <c r="M86" s="200">
        <f t="shared" si="31"/>
        <v>0.62740611112218336</v>
      </c>
      <c r="N86" s="201">
        <f t="shared" si="32"/>
        <v>13.112989834024887</v>
      </c>
      <c r="O86" s="200">
        <v>0</v>
      </c>
      <c r="P86" s="200">
        <v>0</v>
      </c>
      <c r="Q86" s="200">
        <v>0</v>
      </c>
      <c r="R86" s="201">
        <f t="shared" si="33"/>
        <v>13.112989834024887</v>
      </c>
    </row>
    <row r="87" spans="1:18" x14ac:dyDescent="0.25">
      <c r="A87" s="153">
        <v>8</v>
      </c>
      <c r="B87" s="192">
        <f t="shared" si="5"/>
        <v>43678</v>
      </c>
      <c r="C87" s="216">
        <f t="shared" si="28"/>
        <v>43712</v>
      </c>
      <c r="D87" s="216">
        <f t="shared" si="28"/>
        <v>43727</v>
      </c>
      <c r="E87" s="54" t="s">
        <v>9</v>
      </c>
      <c r="F87" s="153">
        <v>9</v>
      </c>
      <c r="G87" s="195">
        <v>43</v>
      </c>
      <c r="H87" s="196">
        <f t="shared" ref="H87:H91" si="34">$K$3</f>
        <v>0.65</v>
      </c>
      <c r="I87" s="196">
        <f t="shared" si="24"/>
        <v>0.97014317238212067</v>
      </c>
      <c r="J87" s="197">
        <f t="shared" si="3"/>
        <v>41.716156412431189</v>
      </c>
      <c r="K87" s="204">
        <f t="shared" si="13"/>
        <v>27.95</v>
      </c>
      <c r="L87" s="203">
        <f t="shared" si="30"/>
        <v>13.76615641243119</v>
      </c>
      <c r="M87" s="200">
        <f t="shared" si="31"/>
        <v>0.69175545585266374</v>
      </c>
      <c r="N87" s="201">
        <f t="shared" si="32"/>
        <v>14.457911868283855</v>
      </c>
      <c r="O87" s="200">
        <v>0</v>
      </c>
      <c r="P87" s="200">
        <v>0</v>
      </c>
      <c r="Q87" s="200">
        <v>0</v>
      </c>
      <c r="R87" s="201">
        <f t="shared" si="33"/>
        <v>14.457911868283855</v>
      </c>
    </row>
    <row r="88" spans="1:18" x14ac:dyDescent="0.25">
      <c r="A88" s="153">
        <v>9</v>
      </c>
      <c r="B88" s="192">
        <f t="shared" si="5"/>
        <v>43709</v>
      </c>
      <c r="C88" s="216">
        <f t="shared" si="28"/>
        <v>43741</v>
      </c>
      <c r="D88" s="216">
        <f t="shared" si="28"/>
        <v>43756</v>
      </c>
      <c r="E88" s="54" t="s">
        <v>9</v>
      </c>
      <c r="F88" s="153">
        <v>9</v>
      </c>
      <c r="G88" s="195">
        <v>40</v>
      </c>
      <c r="H88" s="196">
        <f t="shared" si="34"/>
        <v>0.65</v>
      </c>
      <c r="I88" s="196">
        <f t="shared" si="24"/>
        <v>0.97014317238212067</v>
      </c>
      <c r="J88" s="197">
        <f t="shared" si="3"/>
        <v>38.805726895284828</v>
      </c>
      <c r="K88" s="204">
        <f t="shared" si="13"/>
        <v>26</v>
      </c>
      <c r="L88" s="203">
        <f t="shared" si="30"/>
        <v>12.805726895284828</v>
      </c>
      <c r="M88" s="200">
        <f t="shared" si="31"/>
        <v>0.6434934473048034</v>
      </c>
      <c r="N88" s="201">
        <f t="shared" si="32"/>
        <v>13.449220342589632</v>
      </c>
      <c r="O88" s="200">
        <v>0</v>
      </c>
      <c r="P88" s="200">
        <v>0</v>
      </c>
      <c r="Q88" s="200">
        <v>0</v>
      </c>
      <c r="R88" s="201">
        <f t="shared" si="33"/>
        <v>13.449220342589632</v>
      </c>
    </row>
    <row r="89" spans="1:18" x14ac:dyDescent="0.25">
      <c r="A89" s="116">
        <v>10</v>
      </c>
      <c r="B89" s="192">
        <f t="shared" si="5"/>
        <v>43739</v>
      </c>
      <c r="C89" s="216">
        <f t="shared" si="28"/>
        <v>43774</v>
      </c>
      <c r="D89" s="216">
        <f t="shared" si="28"/>
        <v>43789</v>
      </c>
      <c r="E89" s="54" t="s">
        <v>9</v>
      </c>
      <c r="F89" s="153">
        <v>9</v>
      </c>
      <c r="G89" s="195">
        <v>30</v>
      </c>
      <c r="H89" s="196">
        <f t="shared" si="34"/>
        <v>0.65</v>
      </c>
      <c r="I89" s="196">
        <f t="shared" si="24"/>
        <v>0.97014317238212067</v>
      </c>
      <c r="J89" s="197">
        <f t="shared" si="3"/>
        <v>29.104295171463619</v>
      </c>
      <c r="K89" s="204">
        <f t="shared" si="13"/>
        <v>19.5</v>
      </c>
      <c r="L89" s="203">
        <f t="shared" si="30"/>
        <v>9.6042951714636189</v>
      </c>
      <c r="M89" s="200">
        <f t="shared" si="31"/>
        <v>0.48262008547860263</v>
      </c>
      <c r="N89" s="201">
        <f t="shared" si="32"/>
        <v>10.086915256942222</v>
      </c>
      <c r="O89" s="200">
        <v>0</v>
      </c>
      <c r="P89" s="200">
        <v>0</v>
      </c>
      <c r="Q89" s="200">
        <v>0</v>
      </c>
      <c r="R89" s="201">
        <f t="shared" si="33"/>
        <v>10.086915256942222</v>
      </c>
    </row>
    <row r="90" spans="1:18" x14ac:dyDescent="0.25">
      <c r="A90" s="153">
        <v>11</v>
      </c>
      <c r="B90" s="192">
        <f t="shared" si="5"/>
        <v>43770</v>
      </c>
      <c r="C90" s="216">
        <f t="shared" si="28"/>
        <v>43803</v>
      </c>
      <c r="D90" s="216">
        <f t="shared" si="28"/>
        <v>43818</v>
      </c>
      <c r="E90" s="54" t="s">
        <v>9</v>
      </c>
      <c r="F90" s="153">
        <v>9</v>
      </c>
      <c r="G90" s="195">
        <v>37</v>
      </c>
      <c r="H90" s="196">
        <f t="shared" si="34"/>
        <v>0.65</v>
      </c>
      <c r="I90" s="196">
        <f t="shared" si="24"/>
        <v>0.97014317238212067</v>
      </c>
      <c r="J90" s="197">
        <f t="shared" si="3"/>
        <v>35.895297378138466</v>
      </c>
      <c r="K90" s="204">
        <f t="shared" si="13"/>
        <v>24.05</v>
      </c>
      <c r="L90" s="203">
        <f t="shared" si="30"/>
        <v>11.845297378138465</v>
      </c>
      <c r="M90" s="200">
        <f t="shared" si="31"/>
        <v>0.59523143875694318</v>
      </c>
      <c r="N90" s="201">
        <f t="shared" si="32"/>
        <v>12.440528816895409</v>
      </c>
      <c r="O90" s="200">
        <v>0</v>
      </c>
      <c r="P90" s="200">
        <v>0</v>
      </c>
      <c r="Q90" s="200">
        <v>0</v>
      </c>
      <c r="R90" s="201">
        <f t="shared" si="33"/>
        <v>12.440528816895409</v>
      </c>
    </row>
    <row r="91" spans="1:18" s="220" customFormat="1" x14ac:dyDescent="0.25">
      <c r="A91" s="153">
        <v>12</v>
      </c>
      <c r="B91" s="218">
        <f t="shared" si="5"/>
        <v>43800</v>
      </c>
      <c r="C91" s="216">
        <f t="shared" si="28"/>
        <v>43833</v>
      </c>
      <c r="D91" s="216">
        <f t="shared" si="28"/>
        <v>43850</v>
      </c>
      <c r="E91" s="219" t="s">
        <v>9</v>
      </c>
      <c r="F91" s="164">
        <v>9</v>
      </c>
      <c r="G91" s="207">
        <v>41</v>
      </c>
      <c r="H91" s="208">
        <f t="shared" si="34"/>
        <v>0.65</v>
      </c>
      <c r="I91" s="208">
        <f t="shared" si="24"/>
        <v>0.97014317238212067</v>
      </c>
      <c r="J91" s="209">
        <f t="shared" si="3"/>
        <v>39.775870067666951</v>
      </c>
      <c r="K91" s="210">
        <f t="shared" si="13"/>
        <v>26.650000000000002</v>
      </c>
      <c r="L91" s="211">
        <f t="shared" si="30"/>
        <v>13.125870067666948</v>
      </c>
      <c r="M91" s="200">
        <f t="shared" si="31"/>
        <v>0.65958078348742355</v>
      </c>
      <c r="N91" s="201">
        <f t="shared" si="32"/>
        <v>13.785450851154373</v>
      </c>
      <c r="O91" s="200">
        <v>0</v>
      </c>
      <c r="P91" s="200">
        <v>0</v>
      </c>
      <c r="Q91" s="200">
        <v>0</v>
      </c>
      <c r="R91" s="201">
        <f t="shared" si="33"/>
        <v>13.785450851154373</v>
      </c>
    </row>
    <row r="92" spans="1:18" x14ac:dyDescent="0.25">
      <c r="A92" s="116">
        <v>1</v>
      </c>
      <c r="B92" s="192">
        <f t="shared" si="5"/>
        <v>43466</v>
      </c>
      <c r="C92" s="213">
        <f t="shared" ref="C92:D95" si="35">+C80</f>
        <v>43501</v>
      </c>
      <c r="D92" s="213">
        <f t="shared" si="35"/>
        <v>43516</v>
      </c>
      <c r="E92" s="194" t="s">
        <v>8</v>
      </c>
      <c r="F92" s="116">
        <v>9</v>
      </c>
      <c r="G92" s="195">
        <v>76</v>
      </c>
      <c r="H92" s="196">
        <f t="shared" ref="H92:H98" si="36">+$K$6</f>
        <v>0.65</v>
      </c>
      <c r="I92" s="196">
        <f t="shared" si="24"/>
        <v>0.97014317238212067</v>
      </c>
      <c r="J92" s="197">
        <f t="shared" si="3"/>
        <v>73.730881101041177</v>
      </c>
      <c r="K92" s="198">
        <f t="shared" si="13"/>
        <v>49.4</v>
      </c>
      <c r="L92" s="199">
        <f t="shared" si="30"/>
        <v>24.330881101041179</v>
      </c>
      <c r="M92" s="200">
        <f t="shared" si="31"/>
        <v>1.2226375498791267</v>
      </c>
      <c r="N92" s="201">
        <f t="shared" si="32"/>
        <v>25.553518650920306</v>
      </c>
      <c r="O92" s="200">
        <v>0</v>
      </c>
      <c r="P92" s="200">
        <v>0</v>
      </c>
      <c r="Q92" s="200">
        <v>0</v>
      </c>
      <c r="R92" s="201">
        <f t="shared" si="33"/>
        <v>25.553518650920306</v>
      </c>
    </row>
    <row r="93" spans="1:18" x14ac:dyDescent="0.25">
      <c r="A93" s="153">
        <v>2</v>
      </c>
      <c r="B93" s="192">
        <f t="shared" si="5"/>
        <v>43497</v>
      </c>
      <c r="C93" s="216">
        <f t="shared" si="35"/>
        <v>43529</v>
      </c>
      <c r="D93" s="216">
        <f t="shared" si="35"/>
        <v>43544</v>
      </c>
      <c r="E93" s="202" t="s">
        <v>8</v>
      </c>
      <c r="F93" s="153">
        <v>9</v>
      </c>
      <c r="G93" s="195">
        <v>85</v>
      </c>
      <c r="H93" s="196">
        <f t="shared" si="36"/>
        <v>0.65</v>
      </c>
      <c r="I93" s="196">
        <f t="shared" si="24"/>
        <v>0.97014317238212067</v>
      </c>
      <c r="J93" s="197">
        <f t="shared" si="3"/>
        <v>82.462169652480256</v>
      </c>
      <c r="K93" s="198">
        <f t="shared" si="13"/>
        <v>55.25</v>
      </c>
      <c r="L93" s="199">
        <f t="shared" si="30"/>
        <v>27.212169652480256</v>
      </c>
      <c r="M93" s="200">
        <f t="shared" si="31"/>
        <v>1.3674235755227073</v>
      </c>
      <c r="N93" s="201">
        <f t="shared" si="32"/>
        <v>28.579593228002963</v>
      </c>
      <c r="O93" s="200">
        <v>0</v>
      </c>
      <c r="P93" s="200">
        <v>0</v>
      </c>
      <c r="Q93" s="200">
        <v>0</v>
      </c>
      <c r="R93" s="201">
        <f t="shared" si="33"/>
        <v>28.579593228002963</v>
      </c>
    </row>
    <row r="94" spans="1:18" x14ac:dyDescent="0.25">
      <c r="A94" s="153">
        <v>3</v>
      </c>
      <c r="B94" s="192">
        <f t="shared" si="5"/>
        <v>43525</v>
      </c>
      <c r="C94" s="216">
        <f t="shared" si="35"/>
        <v>43558</v>
      </c>
      <c r="D94" s="216">
        <f t="shared" si="35"/>
        <v>43573</v>
      </c>
      <c r="E94" s="202" t="s">
        <v>8</v>
      </c>
      <c r="F94" s="153">
        <v>9</v>
      </c>
      <c r="G94" s="195">
        <v>86</v>
      </c>
      <c r="H94" s="196">
        <f t="shared" si="36"/>
        <v>0.65</v>
      </c>
      <c r="I94" s="196">
        <f t="shared" si="24"/>
        <v>0.97014317238212067</v>
      </c>
      <c r="J94" s="197">
        <f t="shared" si="3"/>
        <v>83.432312824862379</v>
      </c>
      <c r="K94" s="198">
        <f t="shared" ref="K94:K133" si="37">+$G94*H94</f>
        <v>55.9</v>
      </c>
      <c r="L94" s="199">
        <f>+J94-K94</f>
        <v>27.53231282486238</v>
      </c>
      <c r="M94" s="200">
        <f t="shared" si="31"/>
        <v>1.3835109117053275</v>
      </c>
      <c r="N94" s="201">
        <f t="shared" si="32"/>
        <v>28.91582373656771</v>
      </c>
      <c r="O94" s="200">
        <v>0</v>
      </c>
      <c r="P94" s="200">
        <v>0</v>
      </c>
      <c r="Q94" s="200">
        <v>0</v>
      </c>
      <c r="R94" s="201">
        <f t="shared" si="33"/>
        <v>28.91582373656771</v>
      </c>
    </row>
    <row r="95" spans="1:18" x14ac:dyDescent="0.25">
      <c r="A95" s="116">
        <v>4</v>
      </c>
      <c r="B95" s="192">
        <f t="shared" si="5"/>
        <v>43556</v>
      </c>
      <c r="C95" s="216">
        <f t="shared" si="35"/>
        <v>43588</v>
      </c>
      <c r="D95" s="216">
        <f t="shared" si="35"/>
        <v>43605</v>
      </c>
      <c r="E95" s="202" t="s">
        <v>8</v>
      </c>
      <c r="F95" s="153">
        <v>9</v>
      </c>
      <c r="G95" s="195">
        <v>78</v>
      </c>
      <c r="H95" s="196">
        <f t="shared" si="36"/>
        <v>0.65</v>
      </c>
      <c r="I95" s="196">
        <f t="shared" si="24"/>
        <v>0.97014317238212067</v>
      </c>
      <c r="J95" s="197">
        <f t="shared" si="3"/>
        <v>75.671167445805409</v>
      </c>
      <c r="K95" s="198">
        <f t="shared" si="37"/>
        <v>50.7</v>
      </c>
      <c r="L95" s="199">
        <f t="shared" ref="L95:L105" si="38">+J95-K95</f>
        <v>24.971167445805406</v>
      </c>
      <c r="M95" s="200">
        <f t="shared" si="31"/>
        <v>1.2548122222443667</v>
      </c>
      <c r="N95" s="201">
        <f t="shared" si="32"/>
        <v>26.225979668049774</v>
      </c>
      <c r="O95" s="200">
        <v>0</v>
      </c>
      <c r="P95" s="200">
        <v>0</v>
      </c>
      <c r="Q95" s="200">
        <v>0</v>
      </c>
      <c r="R95" s="201">
        <f t="shared" si="33"/>
        <v>26.225979668049774</v>
      </c>
    </row>
    <row r="96" spans="1:18" x14ac:dyDescent="0.25">
      <c r="A96" s="153">
        <v>5</v>
      </c>
      <c r="B96" s="192">
        <f t="shared" si="5"/>
        <v>43586</v>
      </c>
      <c r="C96" s="216">
        <f t="shared" ref="C96:D116" si="39">+C84</f>
        <v>43621</v>
      </c>
      <c r="D96" s="216">
        <f t="shared" si="39"/>
        <v>43636</v>
      </c>
      <c r="E96" s="54" t="s">
        <v>8</v>
      </c>
      <c r="F96" s="153">
        <v>9</v>
      </c>
      <c r="G96" s="195">
        <v>92</v>
      </c>
      <c r="H96" s="196">
        <f t="shared" si="36"/>
        <v>0.65</v>
      </c>
      <c r="I96" s="196">
        <f t="shared" si="24"/>
        <v>0.97014317238212067</v>
      </c>
      <c r="J96" s="197">
        <f t="shared" si="3"/>
        <v>89.253171859155103</v>
      </c>
      <c r="K96" s="198">
        <f t="shared" si="37"/>
        <v>59.800000000000004</v>
      </c>
      <c r="L96" s="199">
        <f t="shared" si="38"/>
        <v>29.453171859155098</v>
      </c>
      <c r="M96" s="200">
        <f t="shared" si="31"/>
        <v>1.4800349288010479</v>
      </c>
      <c r="N96" s="201">
        <f t="shared" si="32"/>
        <v>30.933206787956145</v>
      </c>
      <c r="O96" s="200">
        <v>0</v>
      </c>
      <c r="P96" s="200">
        <v>0</v>
      </c>
      <c r="Q96" s="200">
        <v>0</v>
      </c>
      <c r="R96" s="201">
        <f t="shared" si="33"/>
        <v>30.933206787956145</v>
      </c>
    </row>
    <row r="97" spans="1:18" x14ac:dyDescent="0.25">
      <c r="A97" s="153">
        <v>6</v>
      </c>
      <c r="B97" s="192">
        <f t="shared" si="5"/>
        <v>43617</v>
      </c>
      <c r="C97" s="216">
        <f t="shared" si="39"/>
        <v>43649</v>
      </c>
      <c r="D97" s="216">
        <f t="shared" si="39"/>
        <v>43664</v>
      </c>
      <c r="E97" s="54" t="s">
        <v>8</v>
      </c>
      <c r="F97" s="153">
        <v>9</v>
      </c>
      <c r="G97" s="195">
        <v>138</v>
      </c>
      <c r="H97" s="196">
        <f t="shared" si="36"/>
        <v>0.65</v>
      </c>
      <c r="I97" s="196">
        <f t="shared" si="24"/>
        <v>0.97014317238212067</v>
      </c>
      <c r="J97" s="197">
        <f t="shared" si="3"/>
        <v>133.87975778873266</v>
      </c>
      <c r="K97" s="198">
        <f t="shared" si="37"/>
        <v>89.7</v>
      </c>
      <c r="L97" s="203">
        <f t="shared" si="38"/>
        <v>44.179757788732658</v>
      </c>
      <c r="M97" s="200">
        <f t="shared" si="31"/>
        <v>2.2200523932015717</v>
      </c>
      <c r="N97" s="201">
        <f t="shared" si="32"/>
        <v>46.399810181934228</v>
      </c>
      <c r="O97" s="200">
        <v>0</v>
      </c>
      <c r="P97" s="200">
        <v>0</v>
      </c>
      <c r="Q97" s="200">
        <v>0</v>
      </c>
      <c r="R97" s="201">
        <f t="shared" si="33"/>
        <v>46.399810181934228</v>
      </c>
    </row>
    <row r="98" spans="1:18" x14ac:dyDescent="0.25">
      <c r="A98" s="116">
        <v>7</v>
      </c>
      <c r="B98" s="192">
        <f t="shared" si="5"/>
        <v>43647</v>
      </c>
      <c r="C98" s="216">
        <f t="shared" si="39"/>
        <v>43682</v>
      </c>
      <c r="D98" s="216">
        <f t="shared" si="39"/>
        <v>43697</v>
      </c>
      <c r="E98" s="54" t="s">
        <v>8</v>
      </c>
      <c r="F98" s="153">
        <v>9</v>
      </c>
      <c r="G98" s="195">
        <v>147</v>
      </c>
      <c r="H98" s="196">
        <f t="shared" si="36"/>
        <v>0.65</v>
      </c>
      <c r="I98" s="196">
        <f t="shared" si="24"/>
        <v>0.97014317238212067</v>
      </c>
      <c r="J98" s="197">
        <f t="shared" si="3"/>
        <v>142.61104634017173</v>
      </c>
      <c r="K98" s="204">
        <f t="shared" si="37"/>
        <v>95.55</v>
      </c>
      <c r="L98" s="203">
        <f t="shared" si="38"/>
        <v>47.061046340171728</v>
      </c>
      <c r="M98" s="200">
        <f t="shared" si="31"/>
        <v>2.3648384188451526</v>
      </c>
      <c r="N98" s="201">
        <f t="shared" si="32"/>
        <v>49.425884759016881</v>
      </c>
      <c r="O98" s="200">
        <v>0</v>
      </c>
      <c r="P98" s="200">
        <v>0</v>
      </c>
      <c r="Q98" s="200">
        <v>0</v>
      </c>
      <c r="R98" s="201">
        <f t="shared" si="33"/>
        <v>49.425884759016881</v>
      </c>
    </row>
    <row r="99" spans="1:18" x14ac:dyDescent="0.25">
      <c r="A99" s="153">
        <v>8</v>
      </c>
      <c r="B99" s="192">
        <f t="shared" si="5"/>
        <v>43678</v>
      </c>
      <c r="C99" s="216">
        <f t="shared" si="39"/>
        <v>43712</v>
      </c>
      <c r="D99" s="216">
        <f t="shared" si="39"/>
        <v>43727</v>
      </c>
      <c r="E99" s="54" t="s">
        <v>8</v>
      </c>
      <c r="F99" s="153">
        <v>9</v>
      </c>
      <c r="G99" s="195">
        <v>156</v>
      </c>
      <c r="H99" s="196">
        <f t="shared" ref="H99:H103" si="40">$K$3</f>
        <v>0.65</v>
      </c>
      <c r="I99" s="196">
        <f t="shared" si="24"/>
        <v>0.97014317238212067</v>
      </c>
      <c r="J99" s="197">
        <f t="shared" si="3"/>
        <v>151.34233489161082</v>
      </c>
      <c r="K99" s="204">
        <f t="shared" si="37"/>
        <v>101.4</v>
      </c>
      <c r="L99" s="203">
        <f t="shared" si="38"/>
        <v>49.942334891610813</v>
      </c>
      <c r="M99" s="200">
        <f t="shared" si="31"/>
        <v>2.5096244444887335</v>
      </c>
      <c r="N99" s="201">
        <f t="shared" si="32"/>
        <v>52.451959336099549</v>
      </c>
      <c r="O99" s="200">
        <v>0</v>
      </c>
      <c r="P99" s="200">
        <v>0</v>
      </c>
      <c r="Q99" s="200">
        <v>0</v>
      </c>
      <c r="R99" s="201">
        <f t="shared" si="33"/>
        <v>52.451959336099549</v>
      </c>
    </row>
    <row r="100" spans="1:18" x14ac:dyDescent="0.25">
      <c r="A100" s="153">
        <v>9</v>
      </c>
      <c r="B100" s="192">
        <f t="shared" si="5"/>
        <v>43709</v>
      </c>
      <c r="C100" s="216">
        <f t="shared" si="39"/>
        <v>43741</v>
      </c>
      <c r="D100" s="216">
        <f t="shared" si="39"/>
        <v>43756</v>
      </c>
      <c r="E100" s="54" t="s">
        <v>8</v>
      </c>
      <c r="F100" s="153">
        <v>9</v>
      </c>
      <c r="G100" s="195">
        <v>140</v>
      </c>
      <c r="H100" s="196">
        <f t="shared" si="40"/>
        <v>0.65</v>
      </c>
      <c r="I100" s="196">
        <f t="shared" si="24"/>
        <v>0.97014317238212067</v>
      </c>
      <c r="J100" s="197">
        <f t="shared" si="3"/>
        <v>135.82004413349691</v>
      </c>
      <c r="K100" s="204">
        <f t="shared" si="37"/>
        <v>91</v>
      </c>
      <c r="L100" s="203">
        <f t="shared" si="38"/>
        <v>44.820044133496907</v>
      </c>
      <c r="M100" s="200">
        <f t="shared" si="31"/>
        <v>2.252227065566812</v>
      </c>
      <c r="N100" s="201">
        <f t="shared" si="32"/>
        <v>47.072271199063721</v>
      </c>
      <c r="O100" s="200">
        <v>0</v>
      </c>
      <c r="P100" s="200">
        <v>0</v>
      </c>
      <c r="Q100" s="200">
        <v>0</v>
      </c>
      <c r="R100" s="201">
        <f t="shared" si="33"/>
        <v>47.072271199063721</v>
      </c>
    </row>
    <row r="101" spans="1:18" x14ac:dyDescent="0.25">
      <c r="A101" s="116">
        <v>10</v>
      </c>
      <c r="B101" s="192">
        <f t="shared" si="5"/>
        <v>43739</v>
      </c>
      <c r="C101" s="216">
        <f t="shared" si="39"/>
        <v>43774</v>
      </c>
      <c r="D101" s="216">
        <f t="shared" si="39"/>
        <v>43789</v>
      </c>
      <c r="E101" s="54" t="s">
        <v>8</v>
      </c>
      <c r="F101" s="153">
        <v>9</v>
      </c>
      <c r="G101" s="195">
        <v>125</v>
      </c>
      <c r="H101" s="196">
        <f t="shared" si="40"/>
        <v>0.65</v>
      </c>
      <c r="I101" s="196">
        <f t="shared" si="24"/>
        <v>0.97014317238212067</v>
      </c>
      <c r="J101" s="197">
        <f t="shared" si="3"/>
        <v>121.26789654776508</v>
      </c>
      <c r="K101" s="204">
        <f t="shared" si="37"/>
        <v>81.25</v>
      </c>
      <c r="L101" s="203">
        <f t="shared" si="38"/>
        <v>40.017896547765076</v>
      </c>
      <c r="M101" s="200">
        <f t="shared" si="31"/>
        <v>2.0109170228275111</v>
      </c>
      <c r="N101" s="201">
        <f t="shared" si="32"/>
        <v>42.02881357059259</v>
      </c>
      <c r="O101" s="200">
        <v>0</v>
      </c>
      <c r="P101" s="200">
        <v>0</v>
      </c>
      <c r="Q101" s="200">
        <v>0</v>
      </c>
      <c r="R101" s="201">
        <f t="shared" si="33"/>
        <v>42.02881357059259</v>
      </c>
    </row>
    <row r="102" spans="1:18" x14ac:dyDescent="0.25">
      <c r="A102" s="153">
        <v>11</v>
      </c>
      <c r="B102" s="192">
        <f t="shared" si="5"/>
        <v>43770</v>
      </c>
      <c r="C102" s="216">
        <f t="shared" si="39"/>
        <v>43803</v>
      </c>
      <c r="D102" s="216">
        <f t="shared" si="39"/>
        <v>43818</v>
      </c>
      <c r="E102" s="54" t="s">
        <v>8</v>
      </c>
      <c r="F102" s="153">
        <v>9</v>
      </c>
      <c r="G102" s="195">
        <v>79</v>
      </c>
      <c r="H102" s="196">
        <f t="shared" si="40"/>
        <v>0.65</v>
      </c>
      <c r="I102" s="196">
        <f t="shared" si="24"/>
        <v>0.97014317238212067</v>
      </c>
      <c r="J102" s="197">
        <f t="shared" si="3"/>
        <v>76.641310618187532</v>
      </c>
      <c r="K102" s="204">
        <f t="shared" si="37"/>
        <v>51.35</v>
      </c>
      <c r="L102" s="203">
        <f t="shared" si="38"/>
        <v>25.291310618187531</v>
      </c>
      <c r="M102" s="200">
        <f t="shared" si="31"/>
        <v>1.2708995584269867</v>
      </c>
      <c r="N102" s="201">
        <f t="shared" si="32"/>
        <v>26.562210176614517</v>
      </c>
      <c r="O102" s="200">
        <v>0</v>
      </c>
      <c r="P102" s="200">
        <v>0</v>
      </c>
      <c r="Q102" s="200">
        <v>0</v>
      </c>
      <c r="R102" s="201">
        <f t="shared" si="33"/>
        <v>26.562210176614517</v>
      </c>
    </row>
    <row r="103" spans="1:18" s="220" customFormat="1" x14ac:dyDescent="0.25">
      <c r="A103" s="153">
        <v>12</v>
      </c>
      <c r="B103" s="218">
        <f t="shared" si="5"/>
        <v>43800</v>
      </c>
      <c r="C103" s="216">
        <f t="shared" si="39"/>
        <v>43833</v>
      </c>
      <c r="D103" s="216">
        <f t="shared" si="39"/>
        <v>43850</v>
      </c>
      <c r="E103" s="219" t="s">
        <v>8</v>
      </c>
      <c r="F103" s="164">
        <v>9</v>
      </c>
      <c r="G103" s="207">
        <v>81</v>
      </c>
      <c r="H103" s="208">
        <f t="shared" si="40"/>
        <v>0.65</v>
      </c>
      <c r="I103" s="208">
        <f t="shared" si="24"/>
        <v>0.97014317238212067</v>
      </c>
      <c r="J103" s="209">
        <f t="shared" si="3"/>
        <v>78.581596962951778</v>
      </c>
      <c r="K103" s="210">
        <f t="shared" si="37"/>
        <v>52.65</v>
      </c>
      <c r="L103" s="211">
        <f t="shared" si="38"/>
        <v>25.93159696295178</v>
      </c>
      <c r="M103" s="200">
        <f t="shared" si="31"/>
        <v>1.303074230792227</v>
      </c>
      <c r="N103" s="201">
        <f t="shared" si="32"/>
        <v>27.234671193744006</v>
      </c>
      <c r="O103" s="200">
        <v>0</v>
      </c>
      <c r="P103" s="200">
        <v>0</v>
      </c>
      <c r="Q103" s="200">
        <v>0</v>
      </c>
      <c r="R103" s="201">
        <f t="shared" si="33"/>
        <v>27.234671193744006</v>
      </c>
    </row>
    <row r="104" spans="1:18" x14ac:dyDescent="0.25">
      <c r="A104" s="116">
        <v>1</v>
      </c>
      <c r="B104" s="192">
        <f t="shared" si="5"/>
        <v>43466</v>
      </c>
      <c r="C104" s="213">
        <f t="shared" si="39"/>
        <v>43501</v>
      </c>
      <c r="D104" s="213">
        <f t="shared" si="39"/>
        <v>43516</v>
      </c>
      <c r="E104" s="194" t="s">
        <v>19</v>
      </c>
      <c r="F104" s="116">
        <v>9</v>
      </c>
      <c r="G104" s="195">
        <v>43</v>
      </c>
      <c r="H104" s="196">
        <f t="shared" ref="H104:H110" si="41">+$K$6</f>
        <v>0.65</v>
      </c>
      <c r="I104" s="196">
        <f t="shared" si="24"/>
        <v>0.97014317238212067</v>
      </c>
      <c r="J104" s="197">
        <f t="shared" si="3"/>
        <v>41.716156412431189</v>
      </c>
      <c r="K104" s="198">
        <f t="shared" si="37"/>
        <v>27.95</v>
      </c>
      <c r="L104" s="199">
        <f t="shared" si="38"/>
        <v>13.76615641243119</v>
      </c>
      <c r="M104" s="200">
        <f t="shared" si="31"/>
        <v>0.69175545585266374</v>
      </c>
      <c r="N104" s="201">
        <f t="shared" si="32"/>
        <v>14.457911868283855</v>
      </c>
      <c r="O104" s="200">
        <v>0</v>
      </c>
      <c r="P104" s="200">
        <v>0</v>
      </c>
      <c r="Q104" s="200">
        <v>0</v>
      </c>
      <c r="R104" s="201">
        <f t="shared" si="33"/>
        <v>14.457911868283855</v>
      </c>
    </row>
    <row r="105" spans="1:18" x14ac:dyDescent="0.25">
      <c r="A105" s="153">
        <v>2</v>
      </c>
      <c r="B105" s="192">
        <f t="shared" si="5"/>
        <v>43497</v>
      </c>
      <c r="C105" s="216">
        <f t="shared" si="39"/>
        <v>43529</v>
      </c>
      <c r="D105" s="216">
        <f t="shared" si="39"/>
        <v>43544</v>
      </c>
      <c r="E105" s="202" t="s">
        <v>19</v>
      </c>
      <c r="F105" s="153">
        <v>9</v>
      </c>
      <c r="G105" s="195">
        <v>37</v>
      </c>
      <c r="H105" s="196">
        <f t="shared" si="41"/>
        <v>0.65</v>
      </c>
      <c r="I105" s="196">
        <f t="shared" si="24"/>
        <v>0.97014317238212067</v>
      </c>
      <c r="J105" s="197">
        <f t="shared" si="3"/>
        <v>35.895297378138466</v>
      </c>
      <c r="K105" s="198">
        <f t="shared" si="37"/>
        <v>24.05</v>
      </c>
      <c r="L105" s="199">
        <f t="shared" si="38"/>
        <v>11.845297378138465</v>
      </c>
      <c r="M105" s="200">
        <f t="shared" si="31"/>
        <v>0.59523143875694318</v>
      </c>
      <c r="N105" s="201">
        <f t="shared" si="32"/>
        <v>12.440528816895409</v>
      </c>
      <c r="O105" s="200">
        <v>0</v>
      </c>
      <c r="P105" s="200">
        <v>0</v>
      </c>
      <c r="Q105" s="200">
        <v>0</v>
      </c>
      <c r="R105" s="201">
        <f t="shared" si="33"/>
        <v>12.440528816895409</v>
      </c>
    </row>
    <row r="106" spans="1:18" x14ac:dyDescent="0.25">
      <c r="A106" s="153">
        <v>3</v>
      </c>
      <c r="B106" s="192">
        <f t="shared" si="5"/>
        <v>43525</v>
      </c>
      <c r="C106" s="216">
        <f t="shared" si="39"/>
        <v>43558</v>
      </c>
      <c r="D106" s="216">
        <f t="shared" si="39"/>
        <v>43573</v>
      </c>
      <c r="E106" s="202" t="s">
        <v>19</v>
      </c>
      <c r="F106" s="153">
        <v>9</v>
      </c>
      <c r="G106" s="195">
        <v>40</v>
      </c>
      <c r="H106" s="196">
        <f t="shared" si="41"/>
        <v>0.65</v>
      </c>
      <c r="I106" s="196">
        <f t="shared" si="24"/>
        <v>0.97014317238212067</v>
      </c>
      <c r="J106" s="197">
        <f t="shared" si="3"/>
        <v>38.805726895284828</v>
      </c>
      <c r="K106" s="198">
        <f t="shared" si="37"/>
        <v>26</v>
      </c>
      <c r="L106" s="199">
        <f>+J106-K106</f>
        <v>12.805726895284828</v>
      </c>
      <c r="M106" s="200">
        <f t="shared" si="31"/>
        <v>0.6434934473048034</v>
      </c>
      <c r="N106" s="201">
        <f t="shared" si="32"/>
        <v>13.449220342589632</v>
      </c>
      <c r="O106" s="200">
        <v>0</v>
      </c>
      <c r="P106" s="200">
        <v>0</v>
      </c>
      <c r="Q106" s="200">
        <v>0</v>
      </c>
      <c r="R106" s="201">
        <f t="shared" si="33"/>
        <v>13.449220342589632</v>
      </c>
    </row>
    <row r="107" spans="1:18" x14ac:dyDescent="0.25">
      <c r="A107" s="116">
        <v>4</v>
      </c>
      <c r="B107" s="192">
        <f t="shared" si="5"/>
        <v>43556</v>
      </c>
      <c r="C107" s="216">
        <f t="shared" si="39"/>
        <v>43588</v>
      </c>
      <c r="D107" s="216">
        <f t="shared" si="39"/>
        <v>43605</v>
      </c>
      <c r="E107" s="54" t="s">
        <v>19</v>
      </c>
      <c r="F107" s="153">
        <v>9</v>
      </c>
      <c r="G107" s="195">
        <v>36</v>
      </c>
      <c r="H107" s="196">
        <f t="shared" si="41"/>
        <v>0.65</v>
      </c>
      <c r="I107" s="196">
        <f t="shared" si="24"/>
        <v>0.97014317238212067</v>
      </c>
      <c r="J107" s="197">
        <f t="shared" si="3"/>
        <v>34.925154205756343</v>
      </c>
      <c r="K107" s="198">
        <f t="shared" si="37"/>
        <v>23.400000000000002</v>
      </c>
      <c r="L107" s="199">
        <f t="shared" ref="L107:L115" si="42">+J107-K107</f>
        <v>11.525154205756341</v>
      </c>
      <c r="M107" s="200">
        <f t="shared" si="31"/>
        <v>0.57914410257432314</v>
      </c>
      <c r="N107" s="201">
        <f t="shared" si="32"/>
        <v>12.104298308330664</v>
      </c>
      <c r="O107" s="200">
        <v>0</v>
      </c>
      <c r="P107" s="200">
        <v>0</v>
      </c>
      <c r="Q107" s="200">
        <v>0</v>
      </c>
      <c r="R107" s="201">
        <f t="shared" si="33"/>
        <v>12.104298308330664</v>
      </c>
    </row>
    <row r="108" spans="1:18" x14ac:dyDescent="0.25">
      <c r="A108" s="153">
        <v>5</v>
      </c>
      <c r="B108" s="192">
        <f t="shared" si="5"/>
        <v>43586</v>
      </c>
      <c r="C108" s="216">
        <f t="shared" si="39"/>
        <v>43621</v>
      </c>
      <c r="D108" s="216">
        <f t="shared" si="39"/>
        <v>43636</v>
      </c>
      <c r="E108" s="54" t="s">
        <v>19</v>
      </c>
      <c r="F108" s="153">
        <v>9</v>
      </c>
      <c r="G108" s="195">
        <v>41</v>
      </c>
      <c r="H108" s="196">
        <f t="shared" si="41"/>
        <v>0.65</v>
      </c>
      <c r="I108" s="196">
        <f t="shared" ref="I108:I127" si="43">$J$3</f>
        <v>0.97014317238212067</v>
      </c>
      <c r="J108" s="197">
        <f t="shared" si="3"/>
        <v>39.775870067666951</v>
      </c>
      <c r="K108" s="198">
        <f t="shared" si="37"/>
        <v>26.650000000000002</v>
      </c>
      <c r="L108" s="199">
        <f t="shared" si="42"/>
        <v>13.125870067666948</v>
      </c>
      <c r="M108" s="200">
        <f t="shared" si="31"/>
        <v>0.65958078348742355</v>
      </c>
      <c r="N108" s="201">
        <f t="shared" si="32"/>
        <v>13.785450851154373</v>
      </c>
      <c r="O108" s="200">
        <v>0</v>
      </c>
      <c r="P108" s="200">
        <v>0</v>
      </c>
      <c r="Q108" s="200">
        <v>0</v>
      </c>
      <c r="R108" s="201">
        <f t="shared" si="33"/>
        <v>13.785450851154373</v>
      </c>
    </row>
    <row r="109" spans="1:18" x14ac:dyDescent="0.25">
      <c r="A109" s="153">
        <v>6</v>
      </c>
      <c r="B109" s="192">
        <f t="shared" ref="B109:B148" si="44">DATE($R$1,A109,1)</f>
        <v>43617</v>
      </c>
      <c r="C109" s="216">
        <f t="shared" si="39"/>
        <v>43649</v>
      </c>
      <c r="D109" s="216">
        <f t="shared" si="39"/>
        <v>43664</v>
      </c>
      <c r="E109" s="54" t="s">
        <v>19</v>
      </c>
      <c r="F109" s="153">
        <v>9</v>
      </c>
      <c r="G109" s="195">
        <v>40</v>
      </c>
      <c r="H109" s="196">
        <f t="shared" si="41"/>
        <v>0.65</v>
      </c>
      <c r="I109" s="196">
        <f t="shared" si="43"/>
        <v>0.97014317238212067</v>
      </c>
      <c r="J109" s="197">
        <f t="shared" ref="J109:J148" si="45">+$G109*I109</f>
        <v>38.805726895284828</v>
      </c>
      <c r="K109" s="198">
        <f t="shared" si="37"/>
        <v>26</v>
      </c>
      <c r="L109" s="203">
        <f t="shared" si="42"/>
        <v>12.805726895284828</v>
      </c>
      <c r="M109" s="200">
        <f t="shared" si="31"/>
        <v>0.6434934473048034</v>
      </c>
      <c r="N109" s="201">
        <f t="shared" si="32"/>
        <v>13.449220342589632</v>
      </c>
      <c r="O109" s="200">
        <v>0</v>
      </c>
      <c r="P109" s="200">
        <v>0</v>
      </c>
      <c r="Q109" s="200">
        <v>0</v>
      </c>
      <c r="R109" s="201">
        <f t="shared" si="33"/>
        <v>13.449220342589632</v>
      </c>
    </row>
    <row r="110" spans="1:18" x14ac:dyDescent="0.25">
      <c r="A110" s="116">
        <v>7</v>
      </c>
      <c r="B110" s="192">
        <f t="shared" si="44"/>
        <v>43647</v>
      </c>
      <c r="C110" s="216">
        <f t="shared" si="39"/>
        <v>43682</v>
      </c>
      <c r="D110" s="216">
        <f t="shared" si="39"/>
        <v>43697</v>
      </c>
      <c r="E110" s="54" t="s">
        <v>19</v>
      </c>
      <c r="F110" s="153">
        <v>9</v>
      </c>
      <c r="G110" s="195">
        <v>46</v>
      </c>
      <c r="H110" s="196">
        <f t="shared" si="41"/>
        <v>0.65</v>
      </c>
      <c r="I110" s="196">
        <f t="shared" si="43"/>
        <v>0.97014317238212067</v>
      </c>
      <c r="J110" s="197">
        <f t="shared" si="45"/>
        <v>44.626585929577551</v>
      </c>
      <c r="K110" s="204">
        <f t="shared" si="37"/>
        <v>29.900000000000002</v>
      </c>
      <c r="L110" s="203">
        <f t="shared" si="42"/>
        <v>14.726585929577549</v>
      </c>
      <c r="M110" s="200">
        <f t="shared" si="31"/>
        <v>0.74001746440052396</v>
      </c>
      <c r="N110" s="201">
        <f t="shared" si="32"/>
        <v>15.466603393978072</v>
      </c>
      <c r="O110" s="200">
        <v>0</v>
      </c>
      <c r="P110" s="200">
        <v>0</v>
      </c>
      <c r="Q110" s="200">
        <v>0</v>
      </c>
      <c r="R110" s="201">
        <f t="shared" si="33"/>
        <v>15.466603393978072</v>
      </c>
    </row>
    <row r="111" spans="1:18" x14ac:dyDescent="0.25">
      <c r="A111" s="153">
        <v>8</v>
      </c>
      <c r="B111" s="192">
        <f t="shared" si="44"/>
        <v>43678</v>
      </c>
      <c r="C111" s="216">
        <f t="shared" si="39"/>
        <v>43712</v>
      </c>
      <c r="D111" s="216">
        <f t="shared" si="39"/>
        <v>43727</v>
      </c>
      <c r="E111" s="54" t="s">
        <v>19</v>
      </c>
      <c r="F111" s="153">
        <v>9</v>
      </c>
      <c r="G111" s="195">
        <v>47</v>
      </c>
      <c r="H111" s="196">
        <f t="shared" ref="H111:H115" si="46">$K$3</f>
        <v>0.65</v>
      </c>
      <c r="I111" s="196">
        <f t="shared" si="43"/>
        <v>0.97014317238212067</v>
      </c>
      <c r="J111" s="197">
        <f t="shared" si="45"/>
        <v>45.596729101959674</v>
      </c>
      <c r="K111" s="204">
        <f t="shared" si="37"/>
        <v>30.55</v>
      </c>
      <c r="L111" s="203">
        <f t="shared" si="42"/>
        <v>15.046729101959674</v>
      </c>
      <c r="M111" s="200">
        <f t="shared" si="31"/>
        <v>0.756104800583144</v>
      </c>
      <c r="N111" s="201">
        <f t="shared" si="32"/>
        <v>15.802833902542817</v>
      </c>
      <c r="O111" s="200">
        <v>0</v>
      </c>
      <c r="P111" s="200">
        <v>0</v>
      </c>
      <c r="Q111" s="200">
        <v>0</v>
      </c>
      <c r="R111" s="201">
        <f t="shared" si="33"/>
        <v>15.802833902542817</v>
      </c>
    </row>
    <row r="112" spans="1:18" x14ac:dyDescent="0.25">
      <c r="A112" s="153">
        <v>9</v>
      </c>
      <c r="B112" s="192">
        <f t="shared" si="44"/>
        <v>43709</v>
      </c>
      <c r="C112" s="216">
        <f t="shared" si="39"/>
        <v>43741</v>
      </c>
      <c r="D112" s="216">
        <f t="shared" si="39"/>
        <v>43756</v>
      </c>
      <c r="E112" s="54" t="s">
        <v>19</v>
      </c>
      <c r="F112" s="153">
        <v>9</v>
      </c>
      <c r="G112" s="195">
        <v>45</v>
      </c>
      <c r="H112" s="196">
        <f t="shared" si="46"/>
        <v>0.65</v>
      </c>
      <c r="I112" s="196">
        <f t="shared" si="43"/>
        <v>0.97014317238212067</v>
      </c>
      <c r="J112" s="197">
        <f t="shared" si="45"/>
        <v>43.656442757195428</v>
      </c>
      <c r="K112" s="204">
        <f t="shared" si="37"/>
        <v>29.25</v>
      </c>
      <c r="L112" s="203">
        <f t="shared" si="42"/>
        <v>14.406442757195428</v>
      </c>
      <c r="M112" s="200">
        <f t="shared" si="31"/>
        <v>0.72393012821790381</v>
      </c>
      <c r="N112" s="201">
        <f t="shared" si="32"/>
        <v>15.130372885413331</v>
      </c>
      <c r="O112" s="200">
        <v>0</v>
      </c>
      <c r="P112" s="200">
        <v>0</v>
      </c>
      <c r="Q112" s="200">
        <v>0</v>
      </c>
      <c r="R112" s="201">
        <f t="shared" si="33"/>
        <v>15.130372885413331</v>
      </c>
    </row>
    <row r="113" spans="1:18" x14ac:dyDescent="0.25">
      <c r="A113" s="116">
        <v>10</v>
      </c>
      <c r="B113" s="192">
        <f t="shared" si="44"/>
        <v>43739</v>
      </c>
      <c r="C113" s="216">
        <f t="shared" si="39"/>
        <v>43774</v>
      </c>
      <c r="D113" s="216">
        <f t="shared" si="39"/>
        <v>43789</v>
      </c>
      <c r="E113" s="54" t="s">
        <v>19</v>
      </c>
      <c r="F113" s="153">
        <v>9</v>
      </c>
      <c r="G113" s="195">
        <v>42</v>
      </c>
      <c r="H113" s="196">
        <f t="shared" si="46"/>
        <v>0.65</v>
      </c>
      <c r="I113" s="196">
        <f t="shared" si="43"/>
        <v>0.97014317238212067</v>
      </c>
      <c r="J113" s="197">
        <f t="shared" si="45"/>
        <v>40.746013240049066</v>
      </c>
      <c r="K113" s="204">
        <f t="shared" si="37"/>
        <v>27.3</v>
      </c>
      <c r="L113" s="203">
        <f t="shared" si="42"/>
        <v>13.446013240049066</v>
      </c>
      <c r="M113" s="200">
        <f t="shared" si="31"/>
        <v>0.67566811967004359</v>
      </c>
      <c r="N113" s="201">
        <f t="shared" si="32"/>
        <v>14.121681359719108</v>
      </c>
      <c r="O113" s="200">
        <v>0</v>
      </c>
      <c r="P113" s="200">
        <v>0</v>
      </c>
      <c r="Q113" s="200">
        <v>0</v>
      </c>
      <c r="R113" s="201">
        <f t="shared" si="33"/>
        <v>14.121681359719108</v>
      </c>
    </row>
    <row r="114" spans="1:18" x14ac:dyDescent="0.25">
      <c r="A114" s="153">
        <v>11</v>
      </c>
      <c r="B114" s="192">
        <f t="shared" si="44"/>
        <v>43770</v>
      </c>
      <c r="C114" s="216">
        <f t="shared" si="39"/>
        <v>43803</v>
      </c>
      <c r="D114" s="216">
        <f t="shared" si="39"/>
        <v>43818</v>
      </c>
      <c r="E114" s="54" t="s">
        <v>19</v>
      </c>
      <c r="F114" s="153">
        <v>9</v>
      </c>
      <c r="G114" s="195">
        <v>43</v>
      </c>
      <c r="H114" s="196">
        <f t="shared" si="46"/>
        <v>0.65</v>
      </c>
      <c r="I114" s="196">
        <f t="shared" si="43"/>
        <v>0.97014317238212067</v>
      </c>
      <c r="J114" s="197">
        <f t="shared" si="45"/>
        <v>41.716156412431189</v>
      </c>
      <c r="K114" s="204">
        <f t="shared" si="37"/>
        <v>27.95</v>
      </c>
      <c r="L114" s="203">
        <f t="shared" si="42"/>
        <v>13.76615641243119</v>
      </c>
      <c r="M114" s="200">
        <f t="shared" si="31"/>
        <v>0.69175545585266374</v>
      </c>
      <c r="N114" s="201">
        <f t="shared" si="32"/>
        <v>14.457911868283855</v>
      </c>
      <c r="O114" s="200">
        <v>0</v>
      </c>
      <c r="P114" s="200">
        <v>0</v>
      </c>
      <c r="Q114" s="200">
        <v>0</v>
      </c>
      <c r="R114" s="201">
        <f t="shared" si="33"/>
        <v>14.457911868283855</v>
      </c>
    </row>
    <row r="115" spans="1:18" s="220" customFormat="1" x14ac:dyDescent="0.25">
      <c r="A115" s="153">
        <v>12</v>
      </c>
      <c r="B115" s="218">
        <f t="shared" si="44"/>
        <v>43800</v>
      </c>
      <c r="C115" s="221">
        <f t="shared" si="39"/>
        <v>43833</v>
      </c>
      <c r="D115" s="221">
        <f t="shared" si="39"/>
        <v>43850</v>
      </c>
      <c r="E115" s="219" t="s">
        <v>19</v>
      </c>
      <c r="F115" s="164">
        <v>9</v>
      </c>
      <c r="G115" s="207">
        <v>38</v>
      </c>
      <c r="H115" s="208">
        <f t="shared" si="46"/>
        <v>0.65</v>
      </c>
      <c r="I115" s="208">
        <f t="shared" si="43"/>
        <v>0.97014317238212067</v>
      </c>
      <c r="J115" s="209">
        <f t="shared" si="45"/>
        <v>36.865440550520589</v>
      </c>
      <c r="K115" s="210">
        <f t="shared" si="37"/>
        <v>24.7</v>
      </c>
      <c r="L115" s="211">
        <f t="shared" si="42"/>
        <v>12.165440550520589</v>
      </c>
      <c r="M115" s="200">
        <f t="shared" si="31"/>
        <v>0.61131877493956333</v>
      </c>
      <c r="N115" s="201">
        <f t="shared" si="32"/>
        <v>12.776759325460153</v>
      </c>
      <c r="O115" s="200">
        <v>0</v>
      </c>
      <c r="P115" s="200">
        <v>0</v>
      </c>
      <c r="Q115" s="200">
        <v>0</v>
      </c>
      <c r="R115" s="201">
        <f t="shared" si="33"/>
        <v>12.776759325460153</v>
      </c>
    </row>
    <row r="116" spans="1:18" x14ac:dyDescent="0.25">
      <c r="A116" s="116">
        <v>1</v>
      </c>
      <c r="B116" s="192">
        <f t="shared" si="44"/>
        <v>43466</v>
      </c>
      <c r="C116" s="216">
        <f t="shared" si="39"/>
        <v>43501</v>
      </c>
      <c r="D116" s="216">
        <f t="shared" si="39"/>
        <v>43516</v>
      </c>
      <c r="E116" s="194" t="s">
        <v>13</v>
      </c>
      <c r="F116" s="116">
        <v>9</v>
      </c>
      <c r="G116" s="195">
        <v>988</v>
      </c>
      <c r="H116" s="196">
        <f t="shared" ref="H116:H122" si="47">+$K$6</f>
        <v>0.65</v>
      </c>
      <c r="I116" s="196">
        <f t="shared" si="43"/>
        <v>0.97014317238212067</v>
      </c>
      <c r="J116" s="197">
        <f t="shared" si="45"/>
        <v>958.50145431353519</v>
      </c>
      <c r="K116" s="198">
        <f t="shared" si="37"/>
        <v>642.20000000000005</v>
      </c>
      <c r="L116" s="199">
        <f>+J116-K116</f>
        <v>316.30145431353515</v>
      </c>
      <c r="M116" s="200">
        <f t="shared" si="31"/>
        <v>15.894288148428645</v>
      </c>
      <c r="N116" s="201">
        <f t="shared" si="32"/>
        <v>332.19574246196379</v>
      </c>
      <c r="O116" s="200">
        <v>0</v>
      </c>
      <c r="P116" s="200">
        <v>0</v>
      </c>
      <c r="Q116" s="200">
        <v>0</v>
      </c>
      <c r="R116" s="201">
        <f t="shared" si="33"/>
        <v>332.19574246196379</v>
      </c>
    </row>
    <row r="117" spans="1:18" x14ac:dyDescent="0.25">
      <c r="A117" s="153">
        <v>2</v>
      </c>
      <c r="B117" s="192">
        <f t="shared" si="44"/>
        <v>43497</v>
      </c>
      <c r="C117" s="216">
        <f t="shared" ref="C117:D139" si="48">+C105</f>
        <v>43529</v>
      </c>
      <c r="D117" s="216">
        <f t="shared" si="48"/>
        <v>43544</v>
      </c>
      <c r="E117" s="202" t="s">
        <v>13</v>
      </c>
      <c r="F117" s="153">
        <v>9</v>
      </c>
      <c r="G117" s="195">
        <v>951</v>
      </c>
      <c r="H117" s="196">
        <f t="shared" si="47"/>
        <v>0.65</v>
      </c>
      <c r="I117" s="196">
        <f t="shared" si="43"/>
        <v>0.97014317238212067</v>
      </c>
      <c r="J117" s="197">
        <f t="shared" si="45"/>
        <v>922.60615693539671</v>
      </c>
      <c r="K117" s="198">
        <f t="shared" si="37"/>
        <v>618.15</v>
      </c>
      <c r="L117" s="199">
        <f>+J117-K117</f>
        <v>304.45615693539673</v>
      </c>
      <c r="M117" s="200">
        <f t="shared" si="31"/>
        <v>15.299056709671703</v>
      </c>
      <c r="N117" s="201">
        <f t="shared" si="32"/>
        <v>319.75521364506847</v>
      </c>
      <c r="O117" s="200">
        <v>0</v>
      </c>
      <c r="P117" s="200">
        <v>0</v>
      </c>
      <c r="Q117" s="200">
        <v>0</v>
      </c>
      <c r="R117" s="201">
        <f t="shared" si="33"/>
        <v>319.75521364506847</v>
      </c>
    </row>
    <row r="118" spans="1:18" x14ac:dyDescent="0.25">
      <c r="A118" s="153">
        <v>3</v>
      </c>
      <c r="B118" s="192">
        <f t="shared" si="44"/>
        <v>43525</v>
      </c>
      <c r="C118" s="216">
        <f t="shared" si="48"/>
        <v>43558</v>
      </c>
      <c r="D118" s="216">
        <f t="shared" si="48"/>
        <v>43573</v>
      </c>
      <c r="E118" s="202" t="s">
        <v>13</v>
      </c>
      <c r="F118" s="153">
        <v>9</v>
      </c>
      <c r="G118" s="195">
        <v>1055</v>
      </c>
      <c r="H118" s="196">
        <f t="shared" si="47"/>
        <v>0.65</v>
      </c>
      <c r="I118" s="196">
        <f t="shared" si="43"/>
        <v>0.97014317238212067</v>
      </c>
      <c r="J118" s="197">
        <f t="shared" si="45"/>
        <v>1023.5010468631373</v>
      </c>
      <c r="K118" s="198">
        <f t="shared" si="37"/>
        <v>685.75</v>
      </c>
      <c r="L118" s="199">
        <f>+J118-K118</f>
        <v>337.75104686313728</v>
      </c>
      <c r="M118" s="200">
        <f t="shared" si="31"/>
        <v>16.972139672664191</v>
      </c>
      <c r="N118" s="201">
        <f t="shared" si="32"/>
        <v>354.72318653580146</v>
      </c>
      <c r="O118" s="200">
        <v>0</v>
      </c>
      <c r="P118" s="200">
        <v>0</v>
      </c>
      <c r="Q118" s="200">
        <v>0</v>
      </c>
      <c r="R118" s="201">
        <f t="shared" si="33"/>
        <v>354.72318653580146</v>
      </c>
    </row>
    <row r="119" spans="1:18" x14ac:dyDescent="0.25">
      <c r="A119" s="116">
        <v>4</v>
      </c>
      <c r="B119" s="192">
        <f t="shared" si="44"/>
        <v>43556</v>
      </c>
      <c r="C119" s="216">
        <f t="shared" si="48"/>
        <v>43588</v>
      </c>
      <c r="D119" s="216">
        <f t="shared" si="48"/>
        <v>43605</v>
      </c>
      <c r="E119" s="54" t="s">
        <v>13</v>
      </c>
      <c r="F119" s="153">
        <v>9</v>
      </c>
      <c r="G119" s="195">
        <v>514</v>
      </c>
      <c r="H119" s="196">
        <f t="shared" si="47"/>
        <v>0.65</v>
      </c>
      <c r="I119" s="196">
        <f t="shared" si="43"/>
        <v>0.97014317238212067</v>
      </c>
      <c r="J119" s="197">
        <f t="shared" si="45"/>
        <v>498.65359060441</v>
      </c>
      <c r="K119" s="198">
        <f t="shared" si="37"/>
        <v>334.1</v>
      </c>
      <c r="L119" s="199">
        <f t="shared" ref="L119:L127" si="49">+J119-K119</f>
        <v>164.55359060440998</v>
      </c>
      <c r="M119" s="200">
        <f t="shared" si="31"/>
        <v>8.2688907978667245</v>
      </c>
      <c r="N119" s="201">
        <f t="shared" si="32"/>
        <v>172.82248140227671</v>
      </c>
      <c r="O119" s="200">
        <v>0</v>
      </c>
      <c r="P119" s="200">
        <v>0</v>
      </c>
      <c r="Q119" s="200">
        <v>0</v>
      </c>
      <c r="R119" s="201">
        <f t="shared" si="33"/>
        <v>172.82248140227671</v>
      </c>
    </row>
    <row r="120" spans="1:18" x14ac:dyDescent="0.25">
      <c r="A120" s="153">
        <v>5</v>
      </c>
      <c r="B120" s="192">
        <f t="shared" si="44"/>
        <v>43586</v>
      </c>
      <c r="C120" s="216">
        <f t="shared" si="48"/>
        <v>43621</v>
      </c>
      <c r="D120" s="216">
        <f t="shared" si="48"/>
        <v>43636</v>
      </c>
      <c r="E120" s="54" t="s">
        <v>13</v>
      </c>
      <c r="F120" s="153">
        <v>9</v>
      </c>
      <c r="G120" s="195">
        <v>701</v>
      </c>
      <c r="H120" s="196">
        <f t="shared" si="47"/>
        <v>0.65</v>
      </c>
      <c r="I120" s="196">
        <f t="shared" si="43"/>
        <v>0.97014317238212067</v>
      </c>
      <c r="J120" s="197">
        <f t="shared" si="45"/>
        <v>680.07036383986656</v>
      </c>
      <c r="K120" s="198">
        <f t="shared" si="37"/>
        <v>455.65000000000003</v>
      </c>
      <c r="L120" s="199">
        <f t="shared" si="49"/>
        <v>224.42036383986652</v>
      </c>
      <c r="M120" s="200">
        <f t="shared" si="31"/>
        <v>11.27722266401668</v>
      </c>
      <c r="N120" s="201">
        <f t="shared" si="32"/>
        <v>235.6975865038832</v>
      </c>
      <c r="O120" s="200">
        <v>0</v>
      </c>
      <c r="P120" s="200">
        <v>0</v>
      </c>
      <c r="Q120" s="200">
        <v>0</v>
      </c>
      <c r="R120" s="201">
        <f t="shared" si="33"/>
        <v>235.6975865038832</v>
      </c>
    </row>
    <row r="121" spans="1:18" x14ac:dyDescent="0.25">
      <c r="A121" s="153">
        <v>6</v>
      </c>
      <c r="B121" s="192">
        <f t="shared" si="44"/>
        <v>43617</v>
      </c>
      <c r="C121" s="216">
        <f t="shared" si="48"/>
        <v>43649</v>
      </c>
      <c r="D121" s="216">
        <f t="shared" si="48"/>
        <v>43664</v>
      </c>
      <c r="E121" s="54" t="s">
        <v>13</v>
      </c>
      <c r="F121" s="153">
        <v>9</v>
      </c>
      <c r="G121" s="195">
        <v>822</v>
      </c>
      <c r="H121" s="196">
        <f t="shared" si="47"/>
        <v>0.65</v>
      </c>
      <c r="I121" s="196">
        <f t="shared" si="43"/>
        <v>0.97014317238212067</v>
      </c>
      <c r="J121" s="197">
        <f t="shared" si="45"/>
        <v>797.4576876981032</v>
      </c>
      <c r="K121" s="198">
        <f t="shared" si="37"/>
        <v>534.30000000000007</v>
      </c>
      <c r="L121" s="203">
        <f t="shared" si="49"/>
        <v>263.15768769810313</v>
      </c>
      <c r="M121" s="200">
        <f t="shared" si="31"/>
        <v>13.223790342113709</v>
      </c>
      <c r="N121" s="201">
        <f t="shared" si="32"/>
        <v>276.38147804021685</v>
      </c>
      <c r="O121" s="200">
        <v>0</v>
      </c>
      <c r="P121" s="200">
        <v>0</v>
      </c>
      <c r="Q121" s="200">
        <v>0</v>
      </c>
      <c r="R121" s="201">
        <f t="shared" si="33"/>
        <v>276.38147804021685</v>
      </c>
    </row>
    <row r="122" spans="1:18" x14ac:dyDescent="0.25">
      <c r="A122" s="116">
        <v>7</v>
      </c>
      <c r="B122" s="192">
        <f t="shared" si="44"/>
        <v>43647</v>
      </c>
      <c r="C122" s="216">
        <f t="shared" si="48"/>
        <v>43682</v>
      </c>
      <c r="D122" s="216">
        <f t="shared" si="48"/>
        <v>43697</v>
      </c>
      <c r="E122" s="54" t="s">
        <v>13</v>
      </c>
      <c r="F122" s="153">
        <v>9</v>
      </c>
      <c r="G122" s="195">
        <v>868</v>
      </c>
      <c r="H122" s="196">
        <f t="shared" si="47"/>
        <v>0.65</v>
      </c>
      <c r="I122" s="196">
        <f t="shared" si="43"/>
        <v>0.97014317238212067</v>
      </c>
      <c r="J122" s="197">
        <f t="shared" si="45"/>
        <v>842.08427362768077</v>
      </c>
      <c r="K122" s="204">
        <f t="shared" si="37"/>
        <v>564.20000000000005</v>
      </c>
      <c r="L122" s="203">
        <f t="shared" si="49"/>
        <v>277.88427362768073</v>
      </c>
      <c r="M122" s="200">
        <f t="shared" si="31"/>
        <v>13.963807806514236</v>
      </c>
      <c r="N122" s="201">
        <f t="shared" si="32"/>
        <v>291.84808143419497</v>
      </c>
      <c r="O122" s="200">
        <v>0</v>
      </c>
      <c r="P122" s="200">
        <v>0</v>
      </c>
      <c r="Q122" s="200">
        <v>0</v>
      </c>
      <c r="R122" s="201">
        <f t="shared" si="33"/>
        <v>291.84808143419497</v>
      </c>
    </row>
    <row r="123" spans="1:18" x14ac:dyDescent="0.25">
      <c r="A123" s="153">
        <v>8</v>
      </c>
      <c r="B123" s="192">
        <f t="shared" si="44"/>
        <v>43678</v>
      </c>
      <c r="C123" s="216">
        <f t="shared" si="48"/>
        <v>43712</v>
      </c>
      <c r="D123" s="216">
        <f t="shared" si="48"/>
        <v>43727</v>
      </c>
      <c r="E123" s="54" t="s">
        <v>13</v>
      </c>
      <c r="F123" s="153">
        <v>9</v>
      </c>
      <c r="G123" s="195">
        <v>933</v>
      </c>
      <c r="H123" s="196">
        <f t="shared" ref="H123:H127" si="50">$K$3</f>
        <v>0.65</v>
      </c>
      <c r="I123" s="196">
        <f t="shared" si="43"/>
        <v>0.97014317238212067</v>
      </c>
      <c r="J123" s="197">
        <f t="shared" si="45"/>
        <v>905.14357983251853</v>
      </c>
      <c r="K123" s="204">
        <f t="shared" si="37"/>
        <v>606.45000000000005</v>
      </c>
      <c r="L123" s="203">
        <f t="shared" si="49"/>
        <v>298.69357983251848</v>
      </c>
      <c r="M123" s="200">
        <f t="shared" si="31"/>
        <v>15.00948465838454</v>
      </c>
      <c r="N123" s="201">
        <f t="shared" si="32"/>
        <v>313.70306449090305</v>
      </c>
      <c r="O123" s="200">
        <v>0</v>
      </c>
      <c r="P123" s="200">
        <v>0</v>
      </c>
      <c r="Q123" s="200">
        <v>0</v>
      </c>
      <c r="R123" s="201">
        <f t="shared" si="33"/>
        <v>313.70306449090305</v>
      </c>
    </row>
    <row r="124" spans="1:18" x14ac:dyDescent="0.25">
      <c r="A124" s="153">
        <v>9</v>
      </c>
      <c r="B124" s="192">
        <f t="shared" si="44"/>
        <v>43709</v>
      </c>
      <c r="C124" s="216">
        <f t="shared" si="48"/>
        <v>43741</v>
      </c>
      <c r="D124" s="216">
        <f t="shared" si="48"/>
        <v>43756</v>
      </c>
      <c r="E124" s="54" t="s">
        <v>13</v>
      </c>
      <c r="F124" s="153">
        <v>9</v>
      </c>
      <c r="G124" s="195">
        <v>890</v>
      </c>
      <c r="H124" s="196">
        <f t="shared" si="50"/>
        <v>0.65</v>
      </c>
      <c r="I124" s="196">
        <f t="shared" si="43"/>
        <v>0.97014317238212067</v>
      </c>
      <c r="J124" s="197">
        <f t="shared" si="45"/>
        <v>863.42742342008739</v>
      </c>
      <c r="K124" s="204">
        <f t="shared" si="37"/>
        <v>578.5</v>
      </c>
      <c r="L124" s="203">
        <f t="shared" si="49"/>
        <v>284.92742342008739</v>
      </c>
      <c r="M124" s="200">
        <f t="shared" si="31"/>
        <v>14.317729202531876</v>
      </c>
      <c r="N124" s="201">
        <f t="shared" si="32"/>
        <v>299.24515262261929</v>
      </c>
      <c r="O124" s="200">
        <v>0</v>
      </c>
      <c r="P124" s="200">
        <v>0</v>
      </c>
      <c r="Q124" s="200">
        <v>0</v>
      </c>
      <c r="R124" s="201">
        <f t="shared" si="33"/>
        <v>299.24515262261929</v>
      </c>
    </row>
    <row r="125" spans="1:18" x14ac:dyDescent="0.25">
      <c r="A125" s="116">
        <v>10</v>
      </c>
      <c r="B125" s="192">
        <f t="shared" si="44"/>
        <v>43739</v>
      </c>
      <c r="C125" s="216">
        <f t="shared" si="48"/>
        <v>43774</v>
      </c>
      <c r="D125" s="216">
        <f t="shared" si="48"/>
        <v>43789</v>
      </c>
      <c r="E125" s="54" t="s">
        <v>13</v>
      </c>
      <c r="F125" s="153">
        <v>9</v>
      </c>
      <c r="G125" s="195">
        <v>798</v>
      </c>
      <c r="H125" s="196">
        <f t="shared" si="50"/>
        <v>0.65</v>
      </c>
      <c r="I125" s="196">
        <f t="shared" si="43"/>
        <v>0.97014317238212067</v>
      </c>
      <c r="J125" s="197">
        <f t="shared" si="45"/>
        <v>774.17425156093225</v>
      </c>
      <c r="K125" s="204">
        <f t="shared" si="37"/>
        <v>518.70000000000005</v>
      </c>
      <c r="L125" s="203">
        <f t="shared" si="49"/>
        <v>255.4742515609322</v>
      </c>
      <c r="M125" s="200">
        <f t="shared" si="31"/>
        <v>12.837694273730829</v>
      </c>
      <c r="N125" s="201">
        <f t="shared" si="32"/>
        <v>268.31194583466305</v>
      </c>
      <c r="O125" s="200">
        <v>0</v>
      </c>
      <c r="P125" s="200">
        <v>0</v>
      </c>
      <c r="Q125" s="200">
        <v>0</v>
      </c>
      <c r="R125" s="201">
        <f t="shared" si="33"/>
        <v>268.31194583466305</v>
      </c>
    </row>
    <row r="126" spans="1:18" x14ac:dyDescent="0.25">
      <c r="A126" s="153">
        <v>11</v>
      </c>
      <c r="B126" s="192">
        <f t="shared" si="44"/>
        <v>43770</v>
      </c>
      <c r="C126" s="216">
        <f t="shared" si="48"/>
        <v>43803</v>
      </c>
      <c r="D126" s="216">
        <f t="shared" si="48"/>
        <v>43818</v>
      </c>
      <c r="E126" s="54" t="s">
        <v>13</v>
      </c>
      <c r="F126" s="153">
        <v>9</v>
      </c>
      <c r="G126" s="195">
        <v>1050</v>
      </c>
      <c r="H126" s="196">
        <f t="shared" si="50"/>
        <v>0.65</v>
      </c>
      <c r="I126" s="196">
        <f t="shared" si="43"/>
        <v>0.97014317238212067</v>
      </c>
      <c r="J126" s="197">
        <f t="shared" si="45"/>
        <v>1018.6503310012267</v>
      </c>
      <c r="K126" s="204">
        <f t="shared" si="37"/>
        <v>682.5</v>
      </c>
      <c r="L126" s="203">
        <f t="shared" si="49"/>
        <v>336.15033100122673</v>
      </c>
      <c r="M126" s="200">
        <f t="shared" si="31"/>
        <v>16.891702991751089</v>
      </c>
      <c r="N126" s="201">
        <f t="shared" si="32"/>
        <v>353.04203399297785</v>
      </c>
      <c r="O126" s="200">
        <v>0</v>
      </c>
      <c r="P126" s="200">
        <v>0</v>
      </c>
      <c r="Q126" s="200">
        <v>0</v>
      </c>
      <c r="R126" s="201">
        <f t="shared" si="33"/>
        <v>353.04203399297785</v>
      </c>
    </row>
    <row r="127" spans="1:18" s="220" customFormat="1" x14ac:dyDescent="0.25">
      <c r="A127" s="153">
        <v>12</v>
      </c>
      <c r="B127" s="218">
        <f t="shared" si="44"/>
        <v>43800</v>
      </c>
      <c r="C127" s="221">
        <f t="shared" si="48"/>
        <v>43833</v>
      </c>
      <c r="D127" s="221">
        <f t="shared" si="48"/>
        <v>43850</v>
      </c>
      <c r="E127" s="219" t="s">
        <v>13</v>
      </c>
      <c r="F127" s="164">
        <v>9</v>
      </c>
      <c r="G127" s="207">
        <v>996</v>
      </c>
      <c r="H127" s="208">
        <f t="shared" si="50"/>
        <v>0.65</v>
      </c>
      <c r="I127" s="208">
        <f t="shared" si="43"/>
        <v>0.97014317238212067</v>
      </c>
      <c r="J127" s="209">
        <f t="shared" si="45"/>
        <v>966.26259969259218</v>
      </c>
      <c r="K127" s="210">
        <f t="shared" si="37"/>
        <v>647.4</v>
      </c>
      <c r="L127" s="211">
        <f t="shared" si="49"/>
        <v>318.8625996925922</v>
      </c>
      <c r="M127" s="200">
        <f t="shared" si="31"/>
        <v>16.022986837889608</v>
      </c>
      <c r="N127" s="201">
        <f t="shared" si="32"/>
        <v>334.88558653048182</v>
      </c>
      <c r="O127" s="200">
        <v>0</v>
      </c>
      <c r="P127" s="200">
        <v>0</v>
      </c>
      <c r="Q127" s="200">
        <v>0</v>
      </c>
      <c r="R127" s="201">
        <f t="shared" si="33"/>
        <v>334.88558653048182</v>
      </c>
    </row>
    <row r="128" spans="1:18" x14ac:dyDescent="0.25">
      <c r="A128" s="116">
        <v>1</v>
      </c>
      <c r="B128" s="192">
        <f t="shared" si="44"/>
        <v>43466</v>
      </c>
      <c r="C128" s="216">
        <f t="shared" si="48"/>
        <v>43501</v>
      </c>
      <c r="D128" s="216">
        <f t="shared" si="48"/>
        <v>43516</v>
      </c>
      <c r="E128" s="194" t="s">
        <v>15</v>
      </c>
      <c r="F128" s="116">
        <v>9</v>
      </c>
      <c r="G128" s="195">
        <v>7</v>
      </c>
      <c r="H128" s="196">
        <f t="shared" ref="H128:H134" si="51">+$K$6</f>
        <v>0.65</v>
      </c>
      <c r="I128" s="196">
        <f t="shared" ref="I128:I147" si="52">$J$3</f>
        <v>0.97014317238212067</v>
      </c>
      <c r="J128" s="197">
        <f t="shared" si="45"/>
        <v>6.791002206674845</v>
      </c>
      <c r="K128" s="198">
        <f t="shared" si="37"/>
        <v>4.55</v>
      </c>
      <c r="L128" s="199">
        <f>+J128-K128</f>
        <v>2.2410022066748452</v>
      </c>
      <c r="M128" s="200">
        <f t="shared" si="31"/>
        <v>0.11261135327834061</v>
      </c>
      <c r="N128" s="201">
        <f t="shared" si="32"/>
        <v>2.3536135599531858</v>
      </c>
      <c r="O128" s="200">
        <v>0</v>
      </c>
      <c r="P128" s="200">
        <v>0</v>
      </c>
      <c r="Q128" s="200">
        <v>0</v>
      </c>
      <c r="R128" s="201">
        <f t="shared" si="33"/>
        <v>2.3536135599531858</v>
      </c>
    </row>
    <row r="129" spans="1:18" x14ac:dyDescent="0.25">
      <c r="A129" s="153">
        <v>2</v>
      </c>
      <c r="B129" s="192">
        <f t="shared" si="44"/>
        <v>43497</v>
      </c>
      <c r="C129" s="216">
        <f t="shared" si="48"/>
        <v>43529</v>
      </c>
      <c r="D129" s="216">
        <f t="shared" si="48"/>
        <v>43544</v>
      </c>
      <c r="E129" s="202" t="s">
        <v>15</v>
      </c>
      <c r="F129" s="153">
        <v>9</v>
      </c>
      <c r="G129" s="195">
        <v>8</v>
      </c>
      <c r="H129" s="196">
        <f t="shared" si="51"/>
        <v>0.65</v>
      </c>
      <c r="I129" s="196">
        <f t="shared" si="52"/>
        <v>0.97014317238212067</v>
      </c>
      <c r="J129" s="197">
        <f t="shared" si="45"/>
        <v>7.7611453790569653</v>
      </c>
      <c r="K129" s="198">
        <f t="shared" si="37"/>
        <v>5.2</v>
      </c>
      <c r="L129" s="199">
        <f>+J129-K129</f>
        <v>2.5611453790569652</v>
      </c>
      <c r="M129" s="200">
        <f t="shared" si="31"/>
        <v>0.12869868946096069</v>
      </c>
      <c r="N129" s="201">
        <f t="shared" si="32"/>
        <v>2.6898440685179259</v>
      </c>
      <c r="O129" s="200">
        <v>0</v>
      </c>
      <c r="P129" s="200">
        <v>0</v>
      </c>
      <c r="Q129" s="200">
        <v>0</v>
      </c>
      <c r="R129" s="201">
        <f t="shared" si="33"/>
        <v>2.6898440685179259</v>
      </c>
    </row>
    <row r="130" spans="1:18" x14ac:dyDescent="0.25">
      <c r="A130" s="153">
        <v>3</v>
      </c>
      <c r="B130" s="192">
        <f t="shared" si="44"/>
        <v>43525</v>
      </c>
      <c r="C130" s="216">
        <f t="shared" si="48"/>
        <v>43558</v>
      </c>
      <c r="D130" s="216">
        <f t="shared" si="48"/>
        <v>43573</v>
      </c>
      <c r="E130" s="202" t="s">
        <v>15</v>
      </c>
      <c r="F130" s="153">
        <v>9</v>
      </c>
      <c r="G130" s="195">
        <v>6</v>
      </c>
      <c r="H130" s="196">
        <f t="shared" si="51"/>
        <v>0.65</v>
      </c>
      <c r="I130" s="196">
        <f t="shared" si="52"/>
        <v>0.97014317238212067</v>
      </c>
      <c r="J130" s="197">
        <f t="shared" si="45"/>
        <v>5.8208590342927238</v>
      </c>
      <c r="K130" s="198">
        <f t="shared" si="37"/>
        <v>3.9000000000000004</v>
      </c>
      <c r="L130" s="199">
        <f>+J130-K130</f>
        <v>1.9208590342927234</v>
      </c>
      <c r="M130" s="200">
        <f t="shared" si="31"/>
        <v>9.6524017095720518E-2</v>
      </c>
      <c r="N130" s="201">
        <f t="shared" si="32"/>
        <v>2.0173830513884439</v>
      </c>
      <c r="O130" s="200">
        <v>0</v>
      </c>
      <c r="P130" s="200">
        <v>0</v>
      </c>
      <c r="Q130" s="200">
        <v>0</v>
      </c>
      <c r="R130" s="201">
        <f t="shared" si="33"/>
        <v>2.0173830513884439</v>
      </c>
    </row>
    <row r="131" spans="1:18" x14ac:dyDescent="0.25">
      <c r="A131" s="116">
        <v>4</v>
      </c>
      <c r="B131" s="192">
        <f t="shared" si="44"/>
        <v>43556</v>
      </c>
      <c r="C131" s="216">
        <f t="shared" si="48"/>
        <v>43588</v>
      </c>
      <c r="D131" s="216">
        <f t="shared" si="48"/>
        <v>43605</v>
      </c>
      <c r="E131" s="202" t="s">
        <v>15</v>
      </c>
      <c r="F131" s="153">
        <v>9</v>
      </c>
      <c r="G131" s="195">
        <v>5</v>
      </c>
      <c r="H131" s="196">
        <f t="shared" si="51"/>
        <v>0.65</v>
      </c>
      <c r="I131" s="196">
        <f t="shared" si="52"/>
        <v>0.97014317238212067</v>
      </c>
      <c r="J131" s="197">
        <f t="shared" si="45"/>
        <v>4.8507158619106034</v>
      </c>
      <c r="K131" s="198">
        <f t="shared" si="37"/>
        <v>3.25</v>
      </c>
      <c r="L131" s="199">
        <f t="shared" ref="L131:L141" si="53">+J131-K131</f>
        <v>1.6007158619106034</v>
      </c>
      <c r="M131" s="200">
        <f t="shared" si="31"/>
        <v>8.0436680913100425E-2</v>
      </c>
      <c r="N131" s="201">
        <f t="shared" si="32"/>
        <v>1.681152542823704</v>
      </c>
      <c r="O131" s="200">
        <v>0</v>
      </c>
      <c r="P131" s="200">
        <v>0</v>
      </c>
      <c r="Q131" s="200">
        <v>0</v>
      </c>
      <c r="R131" s="201">
        <f t="shared" si="33"/>
        <v>1.681152542823704</v>
      </c>
    </row>
    <row r="132" spans="1:18" x14ac:dyDescent="0.25">
      <c r="A132" s="153">
        <v>5</v>
      </c>
      <c r="B132" s="192">
        <f t="shared" si="44"/>
        <v>43586</v>
      </c>
      <c r="C132" s="216">
        <f t="shared" si="48"/>
        <v>43621</v>
      </c>
      <c r="D132" s="216">
        <f t="shared" si="48"/>
        <v>43636</v>
      </c>
      <c r="E132" s="54" t="s">
        <v>15</v>
      </c>
      <c r="F132" s="153">
        <v>9</v>
      </c>
      <c r="G132" s="195">
        <v>4</v>
      </c>
      <c r="H132" s="196">
        <f t="shared" si="51"/>
        <v>0.65</v>
      </c>
      <c r="I132" s="196">
        <f t="shared" si="52"/>
        <v>0.97014317238212067</v>
      </c>
      <c r="J132" s="197">
        <f t="shared" si="45"/>
        <v>3.8805726895284827</v>
      </c>
      <c r="K132" s="198">
        <f t="shared" si="37"/>
        <v>2.6</v>
      </c>
      <c r="L132" s="199">
        <f t="shared" si="53"/>
        <v>1.2805726895284826</v>
      </c>
      <c r="M132" s="200">
        <f t="shared" si="31"/>
        <v>6.4349344730480346E-2</v>
      </c>
      <c r="N132" s="201">
        <f t="shared" si="32"/>
        <v>1.344922034258963</v>
      </c>
      <c r="O132" s="200">
        <v>0</v>
      </c>
      <c r="P132" s="200">
        <v>0</v>
      </c>
      <c r="Q132" s="200">
        <v>0</v>
      </c>
      <c r="R132" s="201">
        <f t="shared" si="33"/>
        <v>1.344922034258963</v>
      </c>
    </row>
    <row r="133" spans="1:18" x14ac:dyDescent="0.25">
      <c r="A133" s="153">
        <v>6</v>
      </c>
      <c r="B133" s="192">
        <f t="shared" si="44"/>
        <v>43617</v>
      </c>
      <c r="C133" s="216">
        <f t="shared" si="48"/>
        <v>43649</v>
      </c>
      <c r="D133" s="216">
        <f t="shared" si="48"/>
        <v>43664</v>
      </c>
      <c r="E133" s="54" t="s">
        <v>15</v>
      </c>
      <c r="F133" s="153">
        <v>9</v>
      </c>
      <c r="G133" s="195">
        <v>7</v>
      </c>
      <c r="H133" s="196">
        <f t="shared" si="51"/>
        <v>0.65</v>
      </c>
      <c r="I133" s="196">
        <f t="shared" si="52"/>
        <v>0.97014317238212067</v>
      </c>
      <c r="J133" s="197">
        <f t="shared" si="45"/>
        <v>6.791002206674845</v>
      </c>
      <c r="K133" s="198">
        <f t="shared" si="37"/>
        <v>4.55</v>
      </c>
      <c r="L133" s="203">
        <f t="shared" si="53"/>
        <v>2.2410022066748452</v>
      </c>
      <c r="M133" s="200">
        <f t="shared" si="31"/>
        <v>0.11261135327834061</v>
      </c>
      <c r="N133" s="201">
        <f t="shared" si="32"/>
        <v>2.3536135599531858</v>
      </c>
      <c r="O133" s="200">
        <v>0</v>
      </c>
      <c r="P133" s="200">
        <v>0</v>
      </c>
      <c r="Q133" s="200">
        <v>0</v>
      </c>
      <c r="R133" s="201">
        <f t="shared" si="33"/>
        <v>2.3536135599531858</v>
      </c>
    </row>
    <row r="134" spans="1:18" x14ac:dyDescent="0.25">
      <c r="A134" s="116">
        <v>7</v>
      </c>
      <c r="B134" s="192">
        <f t="shared" si="44"/>
        <v>43647</v>
      </c>
      <c r="C134" s="216">
        <f t="shared" si="48"/>
        <v>43682</v>
      </c>
      <c r="D134" s="216">
        <f t="shared" si="48"/>
        <v>43697</v>
      </c>
      <c r="E134" s="54" t="s">
        <v>15</v>
      </c>
      <c r="F134" s="153">
        <v>9</v>
      </c>
      <c r="G134" s="195">
        <v>17</v>
      </c>
      <c r="H134" s="196">
        <f t="shared" si="51"/>
        <v>0.65</v>
      </c>
      <c r="I134" s="196">
        <f t="shared" si="52"/>
        <v>0.97014317238212067</v>
      </c>
      <c r="J134" s="197">
        <f t="shared" si="45"/>
        <v>16.492433930496052</v>
      </c>
      <c r="K134" s="204">
        <f t="shared" ref="K134:K197" si="54">+$G134*H134</f>
        <v>11.05</v>
      </c>
      <c r="L134" s="203">
        <f t="shared" si="53"/>
        <v>5.4424339304960512</v>
      </c>
      <c r="M134" s="200">
        <f t="shared" si="31"/>
        <v>0.27348471510454148</v>
      </c>
      <c r="N134" s="201">
        <f t="shared" si="32"/>
        <v>5.7159186456005928</v>
      </c>
      <c r="O134" s="200">
        <v>0</v>
      </c>
      <c r="P134" s="200">
        <v>0</v>
      </c>
      <c r="Q134" s="200">
        <v>0</v>
      </c>
      <c r="R134" s="201">
        <f t="shared" si="33"/>
        <v>5.7159186456005928</v>
      </c>
    </row>
    <row r="135" spans="1:18" x14ac:dyDescent="0.25">
      <c r="A135" s="153">
        <v>8</v>
      </c>
      <c r="B135" s="192">
        <f t="shared" si="44"/>
        <v>43678</v>
      </c>
      <c r="C135" s="216">
        <f t="shared" si="48"/>
        <v>43712</v>
      </c>
      <c r="D135" s="216">
        <f t="shared" si="48"/>
        <v>43727</v>
      </c>
      <c r="E135" s="54" t="s">
        <v>15</v>
      </c>
      <c r="F135" s="153">
        <v>9</v>
      </c>
      <c r="G135" s="195">
        <v>17</v>
      </c>
      <c r="H135" s="196">
        <f t="shared" ref="H135:H139" si="55">$K$3</f>
        <v>0.65</v>
      </c>
      <c r="I135" s="196">
        <f t="shared" si="52"/>
        <v>0.97014317238212067</v>
      </c>
      <c r="J135" s="197">
        <f t="shared" si="45"/>
        <v>16.492433930496052</v>
      </c>
      <c r="K135" s="204">
        <f t="shared" si="54"/>
        <v>11.05</v>
      </c>
      <c r="L135" s="203">
        <f t="shared" si="53"/>
        <v>5.4424339304960512</v>
      </c>
      <c r="M135" s="200">
        <f t="shared" si="31"/>
        <v>0.27348471510454148</v>
      </c>
      <c r="N135" s="201">
        <f t="shared" si="32"/>
        <v>5.7159186456005928</v>
      </c>
      <c r="O135" s="200">
        <v>0</v>
      </c>
      <c r="P135" s="200">
        <v>0</v>
      </c>
      <c r="Q135" s="200">
        <v>0</v>
      </c>
      <c r="R135" s="201">
        <f t="shared" si="33"/>
        <v>5.7159186456005928</v>
      </c>
    </row>
    <row r="136" spans="1:18" x14ac:dyDescent="0.25">
      <c r="A136" s="153">
        <v>9</v>
      </c>
      <c r="B136" s="192">
        <f t="shared" si="44"/>
        <v>43709</v>
      </c>
      <c r="C136" s="216">
        <f t="shared" si="48"/>
        <v>43741</v>
      </c>
      <c r="D136" s="216">
        <f t="shared" si="48"/>
        <v>43756</v>
      </c>
      <c r="E136" s="54" t="s">
        <v>15</v>
      </c>
      <c r="F136" s="153">
        <v>9</v>
      </c>
      <c r="G136" s="195">
        <v>13</v>
      </c>
      <c r="H136" s="196">
        <f t="shared" si="55"/>
        <v>0.65</v>
      </c>
      <c r="I136" s="196">
        <f t="shared" si="52"/>
        <v>0.97014317238212067</v>
      </c>
      <c r="J136" s="197">
        <f t="shared" si="45"/>
        <v>12.611861240967569</v>
      </c>
      <c r="K136" s="204">
        <f t="shared" si="54"/>
        <v>8.4500000000000011</v>
      </c>
      <c r="L136" s="203">
        <f t="shared" si="53"/>
        <v>4.1618612409675677</v>
      </c>
      <c r="M136" s="200">
        <f t="shared" si="31"/>
        <v>0.20913537037406113</v>
      </c>
      <c r="N136" s="201">
        <f t="shared" si="32"/>
        <v>4.3709966113416288</v>
      </c>
      <c r="O136" s="200">
        <v>0</v>
      </c>
      <c r="P136" s="200">
        <v>0</v>
      </c>
      <c r="Q136" s="200">
        <v>0</v>
      </c>
      <c r="R136" s="201">
        <f t="shared" si="33"/>
        <v>4.3709966113416288</v>
      </c>
    </row>
    <row r="137" spans="1:18" x14ac:dyDescent="0.25">
      <c r="A137" s="116">
        <v>10</v>
      </c>
      <c r="B137" s="192">
        <f t="shared" si="44"/>
        <v>43739</v>
      </c>
      <c r="C137" s="216">
        <f t="shared" si="48"/>
        <v>43774</v>
      </c>
      <c r="D137" s="216">
        <f t="shared" si="48"/>
        <v>43789</v>
      </c>
      <c r="E137" s="54" t="s">
        <v>15</v>
      </c>
      <c r="F137" s="153">
        <v>9</v>
      </c>
      <c r="G137" s="195">
        <v>5</v>
      </c>
      <c r="H137" s="196">
        <f t="shared" si="55"/>
        <v>0.65</v>
      </c>
      <c r="I137" s="196">
        <f t="shared" si="52"/>
        <v>0.97014317238212067</v>
      </c>
      <c r="J137" s="197">
        <f t="shared" si="45"/>
        <v>4.8507158619106034</v>
      </c>
      <c r="K137" s="204">
        <f t="shared" si="54"/>
        <v>3.25</v>
      </c>
      <c r="L137" s="203">
        <f t="shared" si="53"/>
        <v>1.6007158619106034</v>
      </c>
      <c r="M137" s="200">
        <f t="shared" si="31"/>
        <v>8.0436680913100425E-2</v>
      </c>
      <c r="N137" s="201">
        <f t="shared" si="32"/>
        <v>1.681152542823704</v>
      </c>
      <c r="O137" s="200">
        <v>0</v>
      </c>
      <c r="P137" s="200">
        <v>0</v>
      </c>
      <c r="Q137" s="200">
        <v>0</v>
      </c>
      <c r="R137" s="201">
        <f t="shared" si="33"/>
        <v>1.681152542823704</v>
      </c>
    </row>
    <row r="138" spans="1:18" x14ac:dyDescent="0.25">
      <c r="A138" s="153">
        <v>11</v>
      </c>
      <c r="B138" s="192">
        <f t="shared" si="44"/>
        <v>43770</v>
      </c>
      <c r="C138" s="216">
        <f t="shared" si="48"/>
        <v>43803</v>
      </c>
      <c r="D138" s="216">
        <f t="shared" si="48"/>
        <v>43818</v>
      </c>
      <c r="E138" s="54" t="s">
        <v>15</v>
      </c>
      <c r="F138" s="153">
        <v>9</v>
      </c>
      <c r="G138" s="195">
        <v>7</v>
      </c>
      <c r="H138" s="196">
        <f t="shared" si="55"/>
        <v>0.65</v>
      </c>
      <c r="I138" s="196">
        <f t="shared" si="52"/>
        <v>0.97014317238212067</v>
      </c>
      <c r="J138" s="197">
        <f t="shared" si="45"/>
        <v>6.791002206674845</v>
      </c>
      <c r="K138" s="204">
        <f t="shared" si="54"/>
        <v>4.55</v>
      </c>
      <c r="L138" s="203">
        <f t="shared" si="53"/>
        <v>2.2410022066748452</v>
      </c>
      <c r="M138" s="200">
        <f t="shared" si="31"/>
        <v>0.11261135327834061</v>
      </c>
      <c r="N138" s="201">
        <f t="shared" si="32"/>
        <v>2.3536135599531858</v>
      </c>
      <c r="O138" s="200">
        <v>0</v>
      </c>
      <c r="P138" s="200">
        <v>0</v>
      </c>
      <c r="Q138" s="200">
        <v>0</v>
      </c>
      <c r="R138" s="201">
        <f t="shared" si="33"/>
        <v>2.3536135599531858</v>
      </c>
    </row>
    <row r="139" spans="1:18" s="220" customFormat="1" x14ac:dyDescent="0.25">
      <c r="A139" s="153">
        <v>12</v>
      </c>
      <c r="B139" s="218">
        <f t="shared" si="44"/>
        <v>43800</v>
      </c>
      <c r="C139" s="216">
        <f t="shared" si="48"/>
        <v>43833</v>
      </c>
      <c r="D139" s="216">
        <f t="shared" si="48"/>
        <v>43850</v>
      </c>
      <c r="E139" s="219" t="s">
        <v>15</v>
      </c>
      <c r="F139" s="164">
        <v>9</v>
      </c>
      <c r="G139" s="207">
        <v>7</v>
      </c>
      <c r="H139" s="208">
        <f t="shared" si="55"/>
        <v>0.65</v>
      </c>
      <c r="I139" s="208">
        <f t="shared" si="52"/>
        <v>0.97014317238212067</v>
      </c>
      <c r="J139" s="209">
        <f t="shared" si="45"/>
        <v>6.791002206674845</v>
      </c>
      <c r="K139" s="210">
        <f t="shared" si="54"/>
        <v>4.55</v>
      </c>
      <c r="L139" s="211">
        <f t="shared" si="53"/>
        <v>2.2410022066748452</v>
      </c>
      <c r="M139" s="200">
        <f t="shared" si="31"/>
        <v>0.11261135327834061</v>
      </c>
      <c r="N139" s="201">
        <f t="shared" si="32"/>
        <v>2.3536135599531858</v>
      </c>
      <c r="O139" s="200">
        <v>0</v>
      </c>
      <c r="P139" s="200">
        <v>0</v>
      </c>
      <c r="Q139" s="200">
        <v>0</v>
      </c>
      <c r="R139" s="201">
        <f t="shared" si="33"/>
        <v>2.3536135599531858</v>
      </c>
    </row>
    <row r="140" spans="1:18" x14ac:dyDescent="0.25">
      <c r="A140" s="116">
        <v>1</v>
      </c>
      <c r="B140" s="192">
        <f t="shared" si="44"/>
        <v>43466</v>
      </c>
      <c r="C140" s="213">
        <f t="shared" ref="C140:D151" si="56">+C128</f>
        <v>43501</v>
      </c>
      <c r="D140" s="213">
        <f t="shared" si="56"/>
        <v>43516</v>
      </c>
      <c r="E140" s="223" t="s">
        <v>16</v>
      </c>
      <c r="F140" s="153">
        <v>9</v>
      </c>
      <c r="G140" s="195">
        <v>1</v>
      </c>
      <c r="H140" s="196">
        <f t="shared" ref="H140:H146" si="57">+$K$6</f>
        <v>0.65</v>
      </c>
      <c r="I140" s="196">
        <f t="shared" si="52"/>
        <v>0.97014317238212067</v>
      </c>
      <c r="J140" s="197">
        <f t="shared" si="45"/>
        <v>0.97014317238212067</v>
      </c>
      <c r="K140" s="198">
        <f t="shared" si="54"/>
        <v>0.65</v>
      </c>
      <c r="L140" s="199">
        <f t="shared" si="53"/>
        <v>0.32014317238212064</v>
      </c>
      <c r="M140" s="200">
        <f t="shared" si="31"/>
        <v>1.6087336182620086E-2</v>
      </c>
      <c r="N140" s="201">
        <f t="shared" si="32"/>
        <v>0.33623050856474074</v>
      </c>
      <c r="O140" s="200">
        <v>0</v>
      </c>
      <c r="P140" s="200">
        <v>0</v>
      </c>
      <c r="Q140" s="200">
        <v>0</v>
      </c>
      <c r="R140" s="201">
        <f t="shared" si="33"/>
        <v>0.33623050856474074</v>
      </c>
    </row>
    <row r="141" spans="1:18" x14ac:dyDescent="0.25">
      <c r="A141" s="153">
        <v>2</v>
      </c>
      <c r="B141" s="192">
        <f t="shared" si="44"/>
        <v>43497</v>
      </c>
      <c r="C141" s="216">
        <f t="shared" si="56"/>
        <v>43529</v>
      </c>
      <c r="D141" s="216">
        <f t="shared" si="56"/>
        <v>43544</v>
      </c>
      <c r="E141" s="54" t="s">
        <v>16</v>
      </c>
      <c r="F141" s="153">
        <v>9</v>
      </c>
      <c r="G141" s="195">
        <v>4</v>
      </c>
      <c r="H141" s="196">
        <f t="shared" si="57"/>
        <v>0.65</v>
      </c>
      <c r="I141" s="196">
        <f t="shared" si="52"/>
        <v>0.97014317238212067</v>
      </c>
      <c r="J141" s="197">
        <f t="shared" si="45"/>
        <v>3.8805726895284827</v>
      </c>
      <c r="K141" s="198">
        <f t="shared" si="54"/>
        <v>2.6</v>
      </c>
      <c r="L141" s="199">
        <f t="shared" si="53"/>
        <v>1.2805726895284826</v>
      </c>
      <c r="M141" s="200">
        <f t="shared" si="31"/>
        <v>6.4349344730480346E-2</v>
      </c>
      <c r="N141" s="201">
        <f t="shared" si="32"/>
        <v>1.344922034258963</v>
      </c>
      <c r="O141" s="200">
        <v>0</v>
      </c>
      <c r="P141" s="200">
        <v>0</v>
      </c>
      <c r="Q141" s="200">
        <v>0</v>
      </c>
      <c r="R141" s="201">
        <f t="shared" si="33"/>
        <v>1.344922034258963</v>
      </c>
    </row>
    <row r="142" spans="1:18" x14ac:dyDescent="0.25">
      <c r="A142" s="153">
        <v>3</v>
      </c>
      <c r="B142" s="192">
        <f t="shared" si="44"/>
        <v>43525</v>
      </c>
      <c r="C142" s="216">
        <f t="shared" si="56"/>
        <v>43558</v>
      </c>
      <c r="D142" s="216">
        <f t="shared" si="56"/>
        <v>43573</v>
      </c>
      <c r="E142" s="54" t="s">
        <v>16</v>
      </c>
      <c r="F142" s="153">
        <v>9</v>
      </c>
      <c r="G142" s="195">
        <v>1</v>
      </c>
      <c r="H142" s="196">
        <f t="shared" si="57"/>
        <v>0.65</v>
      </c>
      <c r="I142" s="196">
        <f t="shared" si="52"/>
        <v>0.97014317238212067</v>
      </c>
      <c r="J142" s="197">
        <f t="shared" si="45"/>
        <v>0.97014317238212067</v>
      </c>
      <c r="K142" s="198">
        <f t="shared" si="54"/>
        <v>0.65</v>
      </c>
      <c r="L142" s="199">
        <f>+J142-K142</f>
        <v>0.32014317238212064</v>
      </c>
      <c r="M142" s="200">
        <f t="shared" si="31"/>
        <v>1.6087336182620086E-2</v>
      </c>
      <c r="N142" s="201">
        <f t="shared" si="32"/>
        <v>0.33623050856474074</v>
      </c>
      <c r="O142" s="200">
        <v>0</v>
      </c>
      <c r="P142" s="200">
        <v>0</v>
      </c>
      <c r="Q142" s="200">
        <v>0</v>
      </c>
      <c r="R142" s="201">
        <f t="shared" si="33"/>
        <v>0.33623050856474074</v>
      </c>
    </row>
    <row r="143" spans="1:18" x14ac:dyDescent="0.25">
      <c r="A143" s="116">
        <v>4</v>
      </c>
      <c r="B143" s="192">
        <f t="shared" si="44"/>
        <v>43556</v>
      </c>
      <c r="C143" s="216">
        <f t="shared" si="56"/>
        <v>43588</v>
      </c>
      <c r="D143" s="216">
        <f t="shared" si="56"/>
        <v>43605</v>
      </c>
      <c r="E143" s="54" t="s">
        <v>16</v>
      </c>
      <c r="F143" s="153">
        <v>9</v>
      </c>
      <c r="G143" s="195">
        <v>3</v>
      </c>
      <c r="H143" s="196">
        <f t="shared" si="57"/>
        <v>0.65</v>
      </c>
      <c r="I143" s="196">
        <f t="shared" si="52"/>
        <v>0.97014317238212067</v>
      </c>
      <c r="J143" s="197">
        <f t="shared" si="45"/>
        <v>2.9104295171463619</v>
      </c>
      <c r="K143" s="198">
        <f t="shared" si="54"/>
        <v>1.9500000000000002</v>
      </c>
      <c r="L143" s="199">
        <f t="shared" ref="L143:L153" si="58">+J143-K143</f>
        <v>0.96042951714636171</v>
      </c>
      <c r="M143" s="200">
        <f t="shared" si="31"/>
        <v>4.8262008547860259E-2</v>
      </c>
      <c r="N143" s="201">
        <f t="shared" si="32"/>
        <v>1.0086915256942219</v>
      </c>
      <c r="O143" s="200">
        <v>0</v>
      </c>
      <c r="P143" s="200">
        <v>0</v>
      </c>
      <c r="Q143" s="200">
        <v>0</v>
      </c>
      <c r="R143" s="201">
        <f t="shared" si="33"/>
        <v>1.0086915256942219</v>
      </c>
    </row>
    <row r="144" spans="1:18" x14ac:dyDescent="0.25">
      <c r="A144" s="153">
        <v>5</v>
      </c>
      <c r="B144" s="192">
        <f t="shared" si="44"/>
        <v>43586</v>
      </c>
      <c r="C144" s="216">
        <f t="shared" si="56"/>
        <v>43621</v>
      </c>
      <c r="D144" s="216">
        <f t="shared" si="56"/>
        <v>43636</v>
      </c>
      <c r="E144" s="54" t="s">
        <v>16</v>
      </c>
      <c r="F144" s="153">
        <v>9</v>
      </c>
      <c r="G144" s="195">
        <v>3</v>
      </c>
      <c r="H144" s="196">
        <f t="shared" si="57"/>
        <v>0.65</v>
      </c>
      <c r="I144" s="196">
        <f t="shared" si="52"/>
        <v>0.97014317238212067</v>
      </c>
      <c r="J144" s="197">
        <f t="shared" si="45"/>
        <v>2.9104295171463619</v>
      </c>
      <c r="K144" s="198">
        <f t="shared" si="54"/>
        <v>1.9500000000000002</v>
      </c>
      <c r="L144" s="199">
        <f t="shared" si="58"/>
        <v>0.96042951714636171</v>
      </c>
      <c r="M144" s="200">
        <f t="shared" si="31"/>
        <v>4.8262008547860259E-2</v>
      </c>
      <c r="N144" s="201">
        <f t="shared" si="32"/>
        <v>1.0086915256942219</v>
      </c>
      <c r="O144" s="200">
        <v>0</v>
      </c>
      <c r="P144" s="200">
        <v>0</v>
      </c>
      <c r="Q144" s="200">
        <v>0</v>
      </c>
      <c r="R144" s="201">
        <f t="shared" si="33"/>
        <v>1.0086915256942219</v>
      </c>
    </row>
    <row r="145" spans="1:19" x14ac:dyDescent="0.25">
      <c r="A145" s="153">
        <v>6</v>
      </c>
      <c r="B145" s="192">
        <f t="shared" si="44"/>
        <v>43617</v>
      </c>
      <c r="C145" s="216">
        <f t="shared" si="56"/>
        <v>43649</v>
      </c>
      <c r="D145" s="216">
        <f t="shared" si="56"/>
        <v>43664</v>
      </c>
      <c r="E145" s="54" t="s">
        <v>16</v>
      </c>
      <c r="F145" s="153">
        <v>9</v>
      </c>
      <c r="G145" s="195">
        <v>2</v>
      </c>
      <c r="H145" s="196">
        <f t="shared" si="57"/>
        <v>0.65</v>
      </c>
      <c r="I145" s="196">
        <f t="shared" si="52"/>
        <v>0.97014317238212067</v>
      </c>
      <c r="J145" s="197">
        <f t="shared" si="45"/>
        <v>1.9402863447642413</v>
      </c>
      <c r="K145" s="198">
        <f t="shared" si="54"/>
        <v>1.3</v>
      </c>
      <c r="L145" s="203">
        <f t="shared" si="58"/>
        <v>0.64028634476424129</v>
      </c>
      <c r="M145" s="200">
        <f t="shared" si="31"/>
        <v>3.2174672365240173E-2</v>
      </c>
      <c r="N145" s="201">
        <f t="shared" si="32"/>
        <v>0.67246101712948148</v>
      </c>
      <c r="O145" s="200">
        <v>0</v>
      </c>
      <c r="P145" s="200">
        <v>0</v>
      </c>
      <c r="Q145" s="200">
        <v>0</v>
      </c>
      <c r="R145" s="201">
        <f t="shared" si="33"/>
        <v>0.67246101712948148</v>
      </c>
    </row>
    <row r="146" spans="1:19" x14ac:dyDescent="0.25">
      <c r="A146" s="116">
        <v>7</v>
      </c>
      <c r="B146" s="192">
        <f t="shared" si="44"/>
        <v>43647</v>
      </c>
      <c r="C146" s="216">
        <f t="shared" si="56"/>
        <v>43682</v>
      </c>
      <c r="D146" s="216">
        <f t="shared" si="56"/>
        <v>43697</v>
      </c>
      <c r="E146" s="54" t="s">
        <v>16</v>
      </c>
      <c r="F146" s="153">
        <v>9</v>
      </c>
      <c r="G146" s="195">
        <v>6</v>
      </c>
      <c r="H146" s="196">
        <f t="shared" si="57"/>
        <v>0.65</v>
      </c>
      <c r="I146" s="196">
        <f t="shared" si="52"/>
        <v>0.97014317238212067</v>
      </c>
      <c r="J146" s="197">
        <f t="shared" si="45"/>
        <v>5.8208590342927238</v>
      </c>
      <c r="K146" s="204">
        <f t="shared" si="54"/>
        <v>3.9000000000000004</v>
      </c>
      <c r="L146" s="203">
        <f t="shared" si="58"/>
        <v>1.9208590342927234</v>
      </c>
      <c r="M146" s="200">
        <f t="shared" si="31"/>
        <v>9.6524017095720518E-2</v>
      </c>
      <c r="N146" s="201">
        <f t="shared" si="32"/>
        <v>2.0173830513884439</v>
      </c>
      <c r="O146" s="200">
        <v>0</v>
      </c>
      <c r="P146" s="200">
        <v>0</v>
      </c>
      <c r="Q146" s="200">
        <v>0</v>
      </c>
      <c r="R146" s="201">
        <f t="shared" si="33"/>
        <v>2.0173830513884439</v>
      </c>
    </row>
    <row r="147" spans="1:19" x14ac:dyDescent="0.25">
      <c r="A147" s="153">
        <v>8</v>
      </c>
      <c r="B147" s="192">
        <f t="shared" si="44"/>
        <v>43678</v>
      </c>
      <c r="C147" s="216">
        <f t="shared" si="56"/>
        <v>43712</v>
      </c>
      <c r="D147" s="216">
        <f t="shared" si="56"/>
        <v>43727</v>
      </c>
      <c r="E147" s="54" t="s">
        <v>16</v>
      </c>
      <c r="F147" s="153">
        <v>9</v>
      </c>
      <c r="G147" s="195">
        <v>4</v>
      </c>
      <c r="H147" s="196">
        <f t="shared" ref="H147:H151" si="59">$K$3</f>
        <v>0.65</v>
      </c>
      <c r="I147" s="196">
        <f t="shared" si="52"/>
        <v>0.97014317238212067</v>
      </c>
      <c r="J147" s="197">
        <f t="shared" si="45"/>
        <v>3.8805726895284827</v>
      </c>
      <c r="K147" s="204">
        <f t="shared" si="54"/>
        <v>2.6</v>
      </c>
      <c r="L147" s="203">
        <f t="shared" si="58"/>
        <v>1.2805726895284826</v>
      </c>
      <c r="M147" s="200">
        <f t="shared" si="31"/>
        <v>6.4349344730480346E-2</v>
      </c>
      <c r="N147" s="201">
        <f t="shared" si="32"/>
        <v>1.344922034258963</v>
      </c>
      <c r="O147" s="200">
        <v>0</v>
      </c>
      <c r="P147" s="200">
        <v>0</v>
      </c>
      <c r="Q147" s="200">
        <v>0</v>
      </c>
      <c r="R147" s="201">
        <f t="shared" si="33"/>
        <v>1.344922034258963</v>
      </c>
    </row>
    <row r="148" spans="1:19" x14ac:dyDescent="0.25">
      <c r="A148" s="153">
        <v>9</v>
      </c>
      <c r="B148" s="192">
        <f t="shared" si="44"/>
        <v>43709</v>
      </c>
      <c r="C148" s="216">
        <f t="shared" si="56"/>
        <v>43741</v>
      </c>
      <c r="D148" s="216">
        <f t="shared" si="56"/>
        <v>43756</v>
      </c>
      <c r="E148" s="54" t="s">
        <v>16</v>
      </c>
      <c r="F148" s="153">
        <v>9</v>
      </c>
      <c r="G148" s="195">
        <v>3</v>
      </c>
      <c r="H148" s="196">
        <f t="shared" si="59"/>
        <v>0.65</v>
      </c>
      <c r="I148" s="196">
        <f t="shared" ref="I148:I179" si="60">$J$3</f>
        <v>0.97014317238212067</v>
      </c>
      <c r="J148" s="197">
        <f t="shared" si="45"/>
        <v>2.9104295171463619</v>
      </c>
      <c r="K148" s="204">
        <f t="shared" si="54"/>
        <v>1.9500000000000002</v>
      </c>
      <c r="L148" s="203">
        <f t="shared" si="58"/>
        <v>0.96042951714636171</v>
      </c>
      <c r="M148" s="200">
        <f t="shared" si="31"/>
        <v>4.8262008547860259E-2</v>
      </c>
      <c r="N148" s="201">
        <f t="shared" si="32"/>
        <v>1.0086915256942219</v>
      </c>
      <c r="O148" s="200">
        <v>0</v>
      </c>
      <c r="P148" s="200">
        <v>0</v>
      </c>
      <c r="Q148" s="200">
        <v>0</v>
      </c>
      <c r="R148" s="201">
        <f t="shared" si="33"/>
        <v>1.0086915256942219</v>
      </c>
    </row>
    <row r="149" spans="1:19" x14ac:dyDescent="0.25">
      <c r="A149" s="116">
        <v>10</v>
      </c>
      <c r="B149" s="192">
        <f t="shared" ref="B149:B211" si="61">DATE($R$1,A149,1)</f>
        <v>43739</v>
      </c>
      <c r="C149" s="216">
        <f t="shared" si="56"/>
        <v>43774</v>
      </c>
      <c r="D149" s="216">
        <f t="shared" si="56"/>
        <v>43789</v>
      </c>
      <c r="E149" s="54" t="s">
        <v>16</v>
      </c>
      <c r="F149" s="153">
        <v>9</v>
      </c>
      <c r="G149" s="195">
        <v>4</v>
      </c>
      <c r="H149" s="196">
        <f t="shared" si="59"/>
        <v>0.65</v>
      </c>
      <c r="I149" s="196">
        <f t="shared" si="60"/>
        <v>0.97014317238212067</v>
      </c>
      <c r="J149" s="197">
        <f t="shared" ref="J149:J211" si="62">+$G149*I149</f>
        <v>3.8805726895284827</v>
      </c>
      <c r="K149" s="204">
        <f t="shared" si="54"/>
        <v>2.6</v>
      </c>
      <c r="L149" s="203">
        <f t="shared" si="58"/>
        <v>1.2805726895284826</v>
      </c>
      <c r="M149" s="200">
        <f t="shared" ref="M149:M211" si="63">G149/$G$212*$M$14</f>
        <v>6.4349344730480346E-2</v>
      </c>
      <c r="N149" s="201">
        <f t="shared" ref="N149:N211" si="64">SUM(L149:M149)</f>
        <v>1.344922034258963</v>
      </c>
      <c r="O149" s="200">
        <v>0</v>
      </c>
      <c r="P149" s="200">
        <v>0</v>
      </c>
      <c r="Q149" s="200">
        <v>0</v>
      </c>
      <c r="R149" s="201">
        <f t="shared" ref="R149:R211" si="65">+N149-Q149</f>
        <v>1.344922034258963</v>
      </c>
    </row>
    <row r="150" spans="1:19" x14ac:dyDescent="0.25">
      <c r="A150" s="153">
        <v>11</v>
      </c>
      <c r="B150" s="192">
        <f t="shared" si="61"/>
        <v>43770</v>
      </c>
      <c r="C150" s="216">
        <f t="shared" si="56"/>
        <v>43803</v>
      </c>
      <c r="D150" s="216">
        <f t="shared" si="56"/>
        <v>43818</v>
      </c>
      <c r="E150" s="54" t="s">
        <v>16</v>
      </c>
      <c r="F150" s="153">
        <v>9</v>
      </c>
      <c r="G150" s="195">
        <v>4</v>
      </c>
      <c r="H150" s="196">
        <f t="shared" si="59"/>
        <v>0.65</v>
      </c>
      <c r="I150" s="196">
        <f t="shared" si="60"/>
        <v>0.97014317238212067</v>
      </c>
      <c r="J150" s="197">
        <f t="shared" si="62"/>
        <v>3.8805726895284827</v>
      </c>
      <c r="K150" s="204">
        <f t="shared" si="54"/>
        <v>2.6</v>
      </c>
      <c r="L150" s="203">
        <f t="shared" si="58"/>
        <v>1.2805726895284826</v>
      </c>
      <c r="M150" s="200">
        <f t="shared" si="63"/>
        <v>6.4349344730480346E-2</v>
      </c>
      <c r="N150" s="201">
        <f t="shared" si="64"/>
        <v>1.344922034258963</v>
      </c>
      <c r="O150" s="200">
        <v>0</v>
      </c>
      <c r="P150" s="200">
        <v>0</v>
      </c>
      <c r="Q150" s="200">
        <v>0</v>
      </c>
      <c r="R150" s="201">
        <f t="shared" si="65"/>
        <v>1.344922034258963</v>
      </c>
    </row>
    <row r="151" spans="1:19" s="220" customFormat="1" x14ac:dyDescent="0.25">
      <c r="A151" s="153">
        <v>12</v>
      </c>
      <c r="B151" s="218">
        <f t="shared" si="61"/>
        <v>43800</v>
      </c>
      <c r="C151" s="216">
        <f t="shared" si="56"/>
        <v>43833</v>
      </c>
      <c r="D151" s="216">
        <f t="shared" si="56"/>
        <v>43850</v>
      </c>
      <c r="E151" s="219" t="s">
        <v>16</v>
      </c>
      <c r="F151" s="164">
        <v>9</v>
      </c>
      <c r="G151" s="207">
        <v>4</v>
      </c>
      <c r="H151" s="208">
        <f t="shared" si="59"/>
        <v>0.65</v>
      </c>
      <c r="I151" s="208">
        <f t="shared" si="60"/>
        <v>0.97014317238212067</v>
      </c>
      <c r="J151" s="209">
        <f t="shared" si="62"/>
        <v>3.8805726895284827</v>
      </c>
      <c r="K151" s="210">
        <f t="shared" si="54"/>
        <v>2.6</v>
      </c>
      <c r="L151" s="211">
        <f t="shared" si="58"/>
        <v>1.2805726895284826</v>
      </c>
      <c r="M151" s="200">
        <f t="shared" si="63"/>
        <v>6.4349344730480346E-2</v>
      </c>
      <c r="N151" s="201">
        <f t="shared" si="64"/>
        <v>1.344922034258963</v>
      </c>
      <c r="O151" s="200">
        <v>0</v>
      </c>
      <c r="P151" s="200">
        <v>0</v>
      </c>
      <c r="Q151" s="200">
        <v>0</v>
      </c>
      <c r="R151" s="201">
        <f t="shared" si="65"/>
        <v>1.344922034258963</v>
      </c>
    </row>
    <row r="152" spans="1:19" x14ac:dyDescent="0.25">
      <c r="A152" s="116">
        <v>1</v>
      </c>
      <c r="B152" s="192">
        <f t="shared" si="61"/>
        <v>43466</v>
      </c>
      <c r="C152" s="213">
        <f t="shared" ref="C152:D171" si="66">+C140</f>
        <v>43501</v>
      </c>
      <c r="D152" s="213">
        <f t="shared" si="66"/>
        <v>43516</v>
      </c>
      <c r="E152" s="223" t="s">
        <v>56</v>
      </c>
      <c r="F152" s="116">
        <v>9</v>
      </c>
      <c r="G152" s="195">
        <v>108</v>
      </c>
      <c r="H152" s="196">
        <f t="shared" ref="H152:H158" si="67">+$K$6</f>
        <v>0.65</v>
      </c>
      <c r="I152" s="196">
        <f t="shared" si="60"/>
        <v>0.97014317238212067</v>
      </c>
      <c r="J152" s="197">
        <f t="shared" si="62"/>
        <v>104.77546261726903</v>
      </c>
      <c r="K152" s="198">
        <f t="shared" si="54"/>
        <v>70.2</v>
      </c>
      <c r="L152" s="199">
        <f t="shared" si="58"/>
        <v>34.575462617269025</v>
      </c>
      <c r="M152" s="200">
        <f t="shared" si="63"/>
        <v>1.7374323077229694</v>
      </c>
      <c r="N152" s="201">
        <f t="shared" si="64"/>
        <v>36.312894924991994</v>
      </c>
      <c r="O152" s="200">
        <v>0</v>
      </c>
      <c r="P152" s="200">
        <v>0</v>
      </c>
      <c r="Q152" s="200">
        <v>0</v>
      </c>
      <c r="R152" s="201">
        <f t="shared" si="65"/>
        <v>36.312894924991994</v>
      </c>
    </row>
    <row r="153" spans="1:19" x14ac:dyDescent="0.25">
      <c r="A153" s="153">
        <v>2</v>
      </c>
      <c r="B153" s="192">
        <f t="shared" si="61"/>
        <v>43497</v>
      </c>
      <c r="C153" s="216">
        <f t="shared" si="66"/>
        <v>43529</v>
      </c>
      <c r="D153" s="216">
        <f t="shared" si="66"/>
        <v>43544</v>
      </c>
      <c r="E153" s="224" t="s">
        <v>56</v>
      </c>
      <c r="F153" s="153">
        <v>9</v>
      </c>
      <c r="G153" s="195">
        <v>116</v>
      </c>
      <c r="H153" s="196">
        <f t="shared" si="67"/>
        <v>0.65</v>
      </c>
      <c r="I153" s="196">
        <f t="shared" si="60"/>
        <v>0.97014317238212067</v>
      </c>
      <c r="J153" s="197">
        <f t="shared" si="62"/>
        <v>112.536607996326</v>
      </c>
      <c r="K153" s="198">
        <f t="shared" si="54"/>
        <v>75.400000000000006</v>
      </c>
      <c r="L153" s="199">
        <f t="shared" si="58"/>
        <v>37.136607996325992</v>
      </c>
      <c r="M153" s="200">
        <f t="shared" si="63"/>
        <v>1.8661309971839302</v>
      </c>
      <c r="N153" s="201">
        <f t="shared" si="64"/>
        <v>39.002738993509922</v>
      </c>
      <c r="O153" s="200">
        <v>0</v>
      </c>
      <c r="P153" s="200">
        <v>0</v>
      </c>
      <c r="Q153" s="200">
        <v>0</v>
      </c>
      <c r="R153" s="201">
        <f t="shared" si="65"/>
        <v>39.002738993509922</v>
      </c>
    </row>
    <row r="154" spans="1:19" x14ac:dyDescent="0.25">
      <c r="A154" s="153">
        <v>3</v>
      </c>
      <c r="B154" s="192">
        <f t="shared" si="61"/>
        <v>43525</v>
      </c>
      <c r="C154" s="216">
        <f t="shared" si="66"/>
        <v>43558</v>
      </c>
      <c r="D154" s="216">
        <f t="shared" si="66"/>
        <v>43573</v>
      </c>
      <c r="E154" s="224" t="s">
        <v>56</v>
      </c>
      <c r="F154" s="153">
        <v>9</v>
      </c>
      <c r="G154" s="195">
        <v>115</v>
      </c>
      <c r="H154" s="196">
        <f t="shared" si="67"/>
        <v>0.65</v>
      </c>
      <c r="I154" s="196">
        <f t="shared" si="60"/>
        <v>0.97014317238212067</v>
      </c>
      <c r="J154" s="197">
        <f t="shared" si="62"/>
        <v>111.56646482394387</v>
      </c>
      <c r="K154" s="198">
        <f t="shared" si="54"/>
        <v>74.75</v>
      </c>
      <c r="L154" s="199">
        <f>+J154-K154</f>
        <v>36.816464823943875</v>
      </c>
      <c r="M154" s="200">
        <f t="shared" si="63"/>
        <v>1.85004366100131</v>
      </c>
      <c r="N154" s="201">
        <f t="shared" si="64"/>
        <v>38.666508484945183</v>
      </c>
      <c r="O154" s="200">
        <v>0</v>
      </c>
      <c r="P154" s="200">
        <v>0</v>
      </c>
      <c r="Q154" s="200">
        <v>0</v>
      </c>
      <c r="R154" s="201">
        <f t="shared" si="65"/>
        <v>38.666508484945183</v>
      </c>
    </row>
    <row r="155" spans="1:19" x14ac:dyDescent="0.25">
      <c r="A155" s="116">
        <v>4</v>
      </c>
      <c r="B155" s="192">
        <f t="shared" si="61"/>
        <v>43556</v>
      </c>
      <c r="C155" s="216">
        <f t="shared" si="66"/>
        <v>43588</v>
      </c>
      <c r="D155" s="216">
        <f t="shared" si="66"/>
        <v>43605</v>
      </c>
      <c r="E155" s="224" t="s">
        <v>56</v>
      </c>
      <c r="F155" s="153">
        <v>9</v>
      </c>
      <c r="G155" s="195">
        <v>96</v>
      </c>
      <c r="H155" s="196">
        <f t="shared" si="67"/>
        <v>0.65</v>
      </c>
      <c r="I155" s="196">
        <f t="shared" si="60"/>
        <v>0.97014317238212067</v>
      </c>
      <c r="J155" s="197">
        <f t="shared" si="62"/>
        <v>93.13374454868358</v>
      </c>
      <c r="K155" s="198">
        <f t="shared" si="54"/>
        <v>62.400000000000006</v>
      </c>
      <c r="L155" s="199">
        <f t="shared" ref="L155:L165" si="68">+J155-K155</f>
        <v>30.733744548683575</v>
      </c>
      <c r="M155" s="200">
        <f t="shared" si="63"/>
        <v>1.5443842735315283</v>
      </c>
      <c r="N155" s="201">
        <f t="shared" si="64"/>
        <v>32.278128822215102</v>
      </c>
      <c r="O155" s="200">
        <v>0</v>
      </c>
      <c r="P155" s="200">
        <v>0</v>
      </c>
      <c r="Q155" s="200">
        <v>0</v>
      </c>
      <c r="R155" s="201">
        <f t="shared" si="65"/>
        <v>32.278128822215102</v>
      </c>
    </row>
    <row r="156" spans="1:19" x14ac:dyDescent="0.25">
      <c r="A156" s="153">
        <v>5</v>
      </c>
      <c r="B156" s="192">
        <f t="shared" si="61"/>
        <v>43586</v>
      </c>
      <c r="C156" s="216">
        <f t="shared" si="66"/>
        <v>43621</v>
      </c>
      <c r="D156" s="216">
        <f t="shared" si="66"/>
        <v>43636</v>
      </c>
      <c r="E156" s="224" t="s">
        <v>56</v>
      </c>
      <c r="F156" s="153">
        <v>9</v>
      </c>
      <c r="G156" s="195">
        <v>127</v>
      </c>
      <c r="H156" s="196">
        <f t="shared" si="67"/>
        <v>0.65</v>
      </c>
      <c r="I156" s="196">
        <f t="shared" si="60"/>
        <v>0.97014317238212067</v>
      </c>
      <c r="J156" s="197">
        <f t="shared" si="62"/>
        <v>123.20818289252932</v>
      </c>
      <c r="K156" s="198">
        <f t="shared" si="54"/>
        <v>82.55</v>
      </c>
      <c r="L156" s="199">
        <f t="shared" si="68"/>
        <v>40.658182892529325</v>
      </c>
      <c r="M156" s="200">
        <f t="shared" si="63"/>
        <v>2.0430916951927509</v>
      </c>
      <c r="N156" s="201">
        <f t="shared" si="64"/>
        <v>42.701274587722075</v>
      </c>
      <c r="O156" s="200">
        <v>0</v>
      </c>
      <c r="P156" s="200">
        <v>0</v>
      </c>
      <c r="Q156" s="200">
        <v>0</v>
      </c>
      <c r="R156" s="201">
        <f t="shared" si="65"/>
        <v>42.701274587722075</v>
      </c>
    </row>
    <row r="157" spans="1:19" x14ac:dyDescent="0.25">
      <c r="A157" s="153">
        <v>6</v>
      </c>
      <c r="B157" s="192">
        <f t="shared" si="61"/>
        <v>43617</v>
      </c>
      <c r="C157" s="216">
        <f t="shared" si="66"/>
        <v>43649</v>
      </c>
      <c r="D157" s="216">
        <f t="shared" si="66"/>
        <v>43664</v>
      </c>
      <c r="E157" s="224" t="s">
        <v>56</v>
      </c>
      <c r="F157" s="153">
        <v>9</v>
      </c>
      <c r="G157" s="195">
        <v>143</v>
      </c>
      <c r="H157" s="196">
        <f t="shared" si="67"/>
        <v>0.65</v>
      </c>
      <c r="I157" s="196">
        <f t="shared" si="60"/>
        <v>0.97014317238212067</v>
      </c>
      <c r="J157" s="197">
        <f t="shared" si="62"/>
        <v>138.73047365064326</v>
      </c>
      <c r="K157" s="198">
        <f t="shared" si="54"/>
        <v>92.95</v>
      </c>
      <c r="L157" s="203">
        <f t="shared" si="68"/>
        <v>45.780473650643259</v>
      </c>
      <c r="M157" s="200">
        <f t="shared" si="63"/>
        <v>2.3004890741146724</v>
      </c>
      <c r="N157" s="201">
        <f t="shared" si="64"/>
        <v>48.080962724757931</v>
      </c>
      <c r="O157" s="200">
        <v>0</v>
      </c>
      <c r="P157" s="200">
        <v>0</v>
      </c>
      <c r="Q157" s="200">
        <v>0</v>
      </c>
      <c r="R157" s="201">
        <f t="shared" si="65"/>
        <v>48.080962724757931</v>
      </c>
    </row>
    <row r="158" spans="1:19" x14ac:dyDescent="0.25">
      <c r="A158" s="116">
        <v>7</v>
      </c>
      <c r="B158" s="192">
        <f t="shared" si="61"/>
        <v>43647</v>
      </c>
      <c r="C158" s="216">
        <f t="shared" si="66"/>
        <v>43682</v>
      </c>
      <c r="D158" s="216">
        <f t="shared" si="66"/>
        <v>43697</v>
      </c>
      <c r="E158" s="224" t="s">
        <v>56</v>
      </c>
      <c r="F158" s="153">
        <v>9</v>
      </c>
      <c r="G158" s="195">
        <v>153</v>
      </c>
      <c r="H158" s="196">
        <f t="shared" si="67"/>
        <v>0.65</v>
      </c>
      <c r="I158" s="196">
        <f t="shared" si="60"/>
        <v>0.97014317238212067</v>
      </c>
      <c r="J158" s="197">
        <f t="shared" si="62"/>
        <v>148.43190537446446</v>
      </c>
      <c r="K158" s="204">
        <f t="shared" si="54"/>
        <v>99.45</v>
      </c>
      <c r="L158" s="203">
        <f t="shared" si="68"/>
        <v>48.981905374464461</v>
      </c>
      <c r="M158" s="200">
        <f t="shared" si="63"/>
        <v>2.4613624359408734</v>
      </c>
      <c r="N158" s="201">
        <f t="shared" si="64"/>
        <v>51.443267810405331</v>
      </c>
      <c r="O158" s="200">
        <v>0</v>
      </c>
      <c r="P158" s="200">
        <v>0</v>
      </c>
      <c r="Q158" s="200">
        <v>0</v>
      </c>
      <c r="R158" s="201">
        <f t="shared" si="65"/>
        <v>51.443267810405331</v>
      </c>
    </row>
    <row r="159" spans="1:19" x14ac:dyDescent="0.25">
      <c r="A159" s="153">
        <v>8</v>
      </c>
      <c r="B159" s="192">
        <f t="shared" si="61"/>
        <v>43678</v>
      </c>
      <c r="C159" s="216">
        <f t="shared" si="66"/>
        <v>43712</v>
      </c>
      <c r="D159" s="216">
        <f t="shared" si="66"/>
        <v>43727</v>
      </c>
      <c r="E159" s="224" t="s">
        <v>56</v>
      </c>
      <c r="F159" s="116">
        <v>9</v>
      </c>
      <c r="G159" s="195">
        <v>162</v>
      </c>
      <c r="H159" s="196">
        <f t="shared" ref="H159:H163" si="69">$K$3</f>
        <v>0.65</v>
      </c>
      <c r="I159" s="196">
        <f t="shared" si="60"/>
        <v>0.97014317238212067</v>
      </c>
      <c r="J159" s="197">
        <f t="shared" si="62"/>
        <v>157.16319392590356</v>
      </c>
      <c r="K159" s="204">
        <f t="shared" si="54"/>
        <v>105.3</v>
      </c>
      <c r="L159" s="203">
        <f t="shared" si="68"/>
        <v>51.863193925903559</v>
      </c>
      <c r="M159" s="200">
        <f t="shared" si="63"/>
        <v>2.6061484615844539</v>
      </c>
      <c r="N159" s="201">
        <f t="shared" si="64"/>
        <v>54.469342387488012</v>
      </c>
      <c r="O159" s="200">
        <v>0</v>
      </c>
      <c r="P159" s="200">
        <v>0</v>
      </c>
      <c r="Q159" s="200">
        <v>0</v>
      </c>
      <c r="R159" s="201">
        <f t="shared" si="65"/>
        <v>54.469342387488012</v>
      </c>
      <c r="S159" s="52"/>
    </row>
    <row r="160" spans="1:19" x14ac:dyDescent="0.25">
      <c r="A160" s="153">
        <v>9</v>
      </c>
      <c r="B160" s="192">
        <f t="shared" si="61"/>
        <v>43709</v>
      </c>
      <c r="C160" s="216">
        <f t="shared" si="66"/>
        <v>43741</v>
      </c>
      <c r="D160" s="216">
        <f t="shared" si="66"/>
        <v>43756</v>
      </c>
      <c r="E160" s="224" t="s">
        <v>56</v>
      </c>
      <c r="F160" s="116">
        <v>9</v>
      </c>
      <c r="G160" s="195">
        <v>145</v>
      </c>
      <c r="H160" s="196">
        <f t="shared" si="69"/>
        <v>0.65</v>
      </c>
      <c r="I160" s="196">
        <f t="shared" si="60"/>
        <v>0.97014317238212067</v>
      </c>
      <c r="J160" s="197">
        <f t="shared" si="62"/>
        <v>140.67075999540751</v>
      </c>
      <c r="K160" s="204">
        <f t="shared" si="54"/>
        <v>94.25</v>
      </c>
      <c r="L160" s="203">
        <f t="shared" si="68"/>
        <v>46.420759995407508</v>
      </c>
      <c r="M160" s="200">
        <f t="shared" si="63"/>
        <v>2.3326637464799127</v>
      </c>
      <c r="N160" s="201">
        <f t="shared" si="64"/>
        <v>48.753423741887417</v>
      </c>
      <c r="O160" s="200">
        <v>0</v>
      </c>
      <c r="P160" s="200">
        <v>0</v>
      </c>
      <c r="Q160" s="200">
        <v>0</v>
      </c>
      <c r="R160" s="201">
        <f t="shared" si="65"/>
        <v>48.753423741887417</v>
      </c>
    </row>
    <row r="161" spans="1:19" x14ac:dyDescent="0.25">
      <c r="A161" s="116">
        <v>10</v>
      </c>
      <c r="B161" s="192">
        <f t="shared" si="61"/>
        <v>43739</v>
      </c>
      <c r="C161" s="216">
        <f t="shared" si="66"/>
        <v>43774</v>
      </c>
      <c r="D161" s="216">
        <f t="shared" si="66"/>
        <v>43789</v>
      </c>
      <c r="E161" s="224" t="s">
        <v>56</v>
      </c>
      <c r="F161" s="116">
        <v>9</v>
      </c>
      <c r="G161" s="195">
        <v>134</v>
      </c>
      <c r="H161" s="196">
        <f t="shared" si="69"/>
        <v>0.65</v>
      </c>
      <c r="I161" s="196">
        <f t="shared" si="60"/>
        <v>0.97014317238212067</v>
      </c>
      <c r="J161" s="197">
        <f t="shared" si="62"/>
        <v>129.99918509920417</v>
      </c>
      <c r="K161" s="204">
        <f t="shared" si="54"/>
        <v>87.100000000000009</v>
      </c>
      <c r="L161" s="203">
        <f t="shared" si="68"/>
        <v>42.899185099204161</v>
      </c>
      <c r="M161" s="200">
        <f t="shared" si="63"/>
        <v>2.1557030484710915</v>
      </c>
      <c r="N161" s="201">
        <f t="shared" si="64"/>
        <v>45.05488814767525</v>
      </c>
      <c r="O161" s="200">
        <v>0</v>
      </c>
      <c r="P161" s="200">
        <v>0</v>
      </c>
      <c r="Q161" s="200">
        <v>0</v>
      </c>
      <c r="R161" s="201">
        <f t="shared" si="65"/>
        <v>45.05488814767525</v>
      </c>
    </row>
    <row r="162" spans="1:19" x14ac:dyDescent="0.25">
      <c r="A162" s="153">
        <v>11</v>
      </c>
      <c r="B162" s="192">
        <f t="shared" si="61"/>
        <v>43770</v>
      </c>
      <c r="C162" s="216">
        <f t="shared" si="66"/>
        <v>43803</v>
      </c>
      <c r="D162" s="216">
        <f t="shared" si="66"/>
        <v>43818</v>
      </c>
      <c r="E162" s="224" t="s">
        <v>56</v>
      </c>
      <c r="F162" s="116">
        <v>9</v>
      </c>
      <c r="G162" s="195">
        <v>105</v>
      </c>
      <c r="H162" s="196">
        <f t="shared" si="69"/>
        <v>0.65</v>
      </c>
      <c r="I162" s="196">
        <f t="shared" si="60"/>
        <v>0.97014317238212067</v>
      </c>
      <c r="J162" s="197">
        <f t="shared" si="62"/>
        <v>101.86503310012267</v>
      </c>
      <c r="K162" s="204">
        <f t="shared" si="54"/>
        <v>68.25</v>
      </c>
      <c r="L162" s="203">
        <f t="shared" si="68"/>
        <v>33.615033100122673</v>
      </c>
      <c r="M162" s="200">
        <f t="shared" si="63"/>
        <v>1.689170299175109</v>
      </c>
      <c r="N162" s="201">
        <f t="shared" si="64"/>
        <v>35.304203399297784</v>
      </c>
      <c r="O162" s="200">
        <v>0</v>
      </c>
      <c r="P162" s="200">
        <v>0</v>
      </c>
      <c r="Q162" s="200">
        <v>0</v>
      </c>
      <c r="R162" s="201">
        <f t="shared" si="65"/>
        <v>35.304203399297784</v>
      </c>
    </row>
    <row r="163" spans="1:19" s="220" customFormat="1" x14ac:dyDescent="0.25">
      <c r="A163" s="153">
        <v>12</v>
      </c>
      <c r="B163" s="218">
        <f t="shared" si="61"/>
        <v>43800</v>
      </c>
      <c r="C163" s="216">
        <f t="shared" si="66"/>
        <v>43833</v>
      </c>
      <c r="D163" s="216">
        <f t="shared" si="66"/>
        <v>43850</v>
      </c>
      <c r="E163" s="225" t="s">
        <v>56</v>
      </c>
      <c r="F163" s="164">
        <v>9</v>
      </c>
      <c r="G163" s="207">
        <v>106</v>
      </c>
      <c r="H163" s="208">
        <f t="shared" si="69"/>
        <v>0.65</v>
      </c>
      <c r="I163" s="208">
        <f t="shared" si="60"/>
        <v>0.97014317238212067</v>
      </c>
      <c r="J163" s="209">
        <f t="shared" si="62"/>
        <v>102.8351762725048</v>
      </c>
      <c r="K163" s="210">
        <f t="shared" si="54"/>
        <v>68.900000000000006</v>
      </c>
      <c r="L163" s="211">
        <f t="shared" si="68"/>
        <v>33.935176272504791</v>
      </c>
      <c r="M163" s="200">
        <f t="shared" si="63"/>
        <v>1.7052576353577291</v>
      </c>
      <c r="N163" s="201">
        <f t="shared" si="64"/>
        <v>35.640433907862523</v>
      </c>
      <c r="O163" s="200">
        <v>0</v>
      </c>
      <c r="P163" s="200">
        <v>0</v>
      </c>
      <c r="Q163" s="200">
        <v>0</v>
      </c>
      <c r="R163" s="201">
        <f t="shared" si="65"/>
        <v>35.640433907862523</v>
      </c>
    </row>
    <row r="164" spans="1:19" x14ac:dyDescent="0.25">
      <c r="A164" s="116">
        <v>1</v>
      </c>
      <c r="B164" s="192">
        <f t="shared" si="61"/>
        <v>43466</v>
      </c>
      <c r="C164" s="213">
        <f t="shared" si="66"/>
        <v>43501</v>
      </c>
      <c r="D164" s="213">
        <f t="shared" si="66"/>
        <v>43516</v>
      </c>
      <c r="E164" s="223" t="s">
        <v>57</v>
      </c>
      <c r="F164" s="116">
        <v>9</v>
      </c>
      <c r="G164" s="195">
        <v>11</v>
      </c>
      <c r="H164" s="196">
        <f t="shared" ref="H164:H170" si="70">+$K$6</f>
        <v>0.65</v>
      </c>
      <c r="I164" s="196">
        <f t="shared" si="60"/>
        <v>0.97014317238212067</v>
      </c>
      <c r="J164" s="197">
        <f t="shared" si="62"/>
        <v>10.671574896203328</v>
      </c>
      <c r="K164" s="198">
        <f t="shared" si="54"/>
        <v>7.15</v>
      </c>
      <c r="L164" s="199">
        <f t="shared" si="68"/>
        <v>3.5215748962033278</v>
      </c>
      <c r="M164" s="200">
        <f t="shared" si="63"/>
        <v>0.17696069800882094</v>
      </c>
      <c r="N164" s="201">
        <f t="shared" si="64"/>
        <v>3.6985355942121485</v>
      </c>
      <c r="O164" s="200">
        <v>0</v>
      </c>
      <c r="P164" s="200">
        <v>0</v>
      </c>
      <c r="Q164" s="200">
        <v>0</v>
      </c>
      <c r="R164" s="201">
        <f t="shared" si="65"/>
        <v>3.6985355942121485</v>
      </c>
    </row>
    <row r="165" spans="1:19" x14ac:dyDescent="0.25">
      <c r="A165" s="153">
        <v>2</v>
      </c>
      <c r="B165" s="192">
        <f t="shared" si="61"/>
        <v>43497</v>
      </c>
      <c r="C165" s="216">
        <f t="shared" si="66"/>
        <v>43529</v>
      </c>
      <c r="D165" s="216">
        <f t="shared" si="66"/>
        <v>43544</v>
      </c>
      <c r="E165" s="224" t="s">
        <v>57</v>
      </c>
      <c r="F165" s="153">
        <v>9</v>
      </c>
      <c r="G165" s="195">
        <v>9</v>
      </c>
      <c r="H165" s="196">
        <f t="shared" si="70"/>
        <v>0.65</v>
      </c>
      <c r="I165" s="196">
        <f t="shared" si="60"/>
        <v>0.97014317238212067</v>
      </c>
      <c r="J165" s="197">
        <f t="shared" si="62"/>
        <v>8.7312885514390857</v>
      </c>
      <c r="K165" s="198">
        <f t="shared" si="54"/>
        <v>5.8500000000000005</v>
      </c>
      <c r="L165" s="199">
        <f t="shared" si="68"/>
        <v>2.8812885514390851</v>
      </c>
      <c r="M165" s="200">
        <f t="shared" si="63"/>
        <v>0.14478602564358078</v>
      </c>
      <c r="N165" s="201">
        <f t="shared" si="64"/>
        <v>3.026074577082666</v>
      </c>
      <c r="O165" s="200">
        <v>0</v>
      </c>
      <c r="P165" s="200">
        <v>0</v>
      </c>
      <c r="Q165" s="200">
        <v>0</v>
      </c>
      <c r="R165" s="201">
        <f t="shared" si="65"/>
        <v>3.026074577082666</v>
      </c>
    </row>
    <row r="166" spans="1:19" x14ac:dyDescent="0.25">
      <c r="A166" s="153">
        <v>3</v>
      </c>
      <c r="B166" s="192">
        <f t="shared" si="61"/>
        <v>43525</v>
      </c>
      <c r="C166" s="216">
        <f t="shared" si="66"/>
        <v>43558</v>
      </c>
      <c r="D166" s="216">
        <f t="shared" si="66"/>
        <v>43573</v>
      </c>
      <c r="E166" s="224" t="s">
        <v>57</v>
      </c>
      <c r="F166" s="153">
        <v>9</v>
      </c>
      <c r="G166" s="195">
        <v>12</v>
      </c>
      <c r="H166" s="196">
        <f t="shared" si="70"/>
        <v>0.65</v>
      </c>
      <c r="I166" s="196">
        <f t="shared" si="60"/>
        <v>0.97014317238212067</v>
      </c>
      <c r="J166" s="197">
        <f t="shared" si="62"/>
        <v>11.641718068585448</v>
      </c>
      <c r="K166" s="198">
        <f t="shared" si="54"/>
        <v>7.8000000000000007</v>
      </c>
      <c r="L166" s="199">
        <f>+J166-K166</f>
        <v>3.8417180685854468</v>
      </c>
      <c r="M166" s="200">
        <f t="shared" si="63"/>
        <v>0.19304803419144104</v>
      </c>
      <c r="N166" s="201">
        <f t="shared" si="64"/>
        <v>4.0347661027768877</v>
      </c>
      <c r="O166" s="200">
        <v>0</v>
      </c>
      <c r="P166" s="200">
        <v>0</v>
      </c>
      <c r="Q166" s="200">
        <v>0</v>
      </c>
      <c r="R166" s="201">
        <f t="shared" si="65"/>
        <v>4.0347661027768877</v>
      </c>
    </row>
    <row r="167" spans="1:19" x14ac:dyDescent="0.25">
      <c r="A167" s="116">
        <v>4</v>
      </c>
      <c r="B167" s="192">
        <f t="shared" si="61"/>
        <v>43556</v>
      </c>
      <c r="C167" s="216">
        <f t="shared" si="66"/>
        <v>43588</v>
      </c>
      <c r="D167" s="216">
        <f t="shared" si="66"/>
        <v>43605</v>
      </c>
      <c r="E167" s="224" t="s">
        <v>57</v>
      </c>
      <c r="F167" s="153">
        <v>9</v>
      </c>
      <c r="G167" s="195">
        <v>10</v>
      </c>
      <c r="H167" s="196">
        <f t="shared" si="70"/>
        <v>0.65</v>
      </c>
      <c r="I167" s="196">
        <f t="shared" si="60"/>
        <v>0.97014317238212067</v>
      </c>
      <c r="J167" s="197">
        <f t="shared" si="62"/>
        <v>9.7014317238212069</v>
      </c>
      <c r="K167" s="198">
        <f t="shared" si="54"/>
        <v>6.5</v>
      </c>
      <c r="L167" s="199">
        <f t="shared" ref="L167:L177" si="71">+J167-K167</f>
        <v>3.2014317238212069</v>
      </c>
      <c r="M167" s="200">
        <f t="shared" si="63"/>
        <v>0.16087336182620085</v>
      </c>
      <c r="N167" s="201">
        <f t="shared" si="64"/>
        <v>3.3623050856474079</v>
      </c>
      <c r="O167" s="200">
        <v>0</v>
      </c>
      <c r="P167" s="200">
        <v>0</v>
      </c>
      <c r="Q167" s="200">
        <v>0</v>
      </c>
      <c r="R167" s="201">
        <f t="shared" si="65"/>
        <v>3.3623050856474079</v>
      </c>
    </row>
    <row r="168" spans="1:19" x14ac:dyDescent="0.25">
      <c r="A168" s="153">
        <v>5</v>
      </c>
      <c r="B168" s="192">
        <f t="shared" si="61"/>
        <v>43586</v>
      </c>
      <c r="C168" s="216">
        <f t="shared" si="66"/>
        <v>43621</v>
      </c>
      <c r="D168" s="216">
        <f t="shared" si="66"/>
        <v>43636</v>
      </c>
      <c r="E168" s="224" t="s">
        <v>57</v>
      </c>
      <c r="F168" s="153">
        <v>9</v>
      </c>
      <c r="G168" s="195">
        <v>13</v>
      </c>
      <c r="H168" s="196">
        <f t="shared" si="70"/>
        <v>0.65</v>
      </c>
      <c r="I168" s="196">
        <f t="shared" si="60"/>
        <v>0.97014317238212067</v>
      </c>
      <c r="J168" s="197">
        <f t="shared" si="62"/>
        <v>12.611861240967569</v>
      </c>
      <c r="K168" s="198">
        <f t="shared" si="54"/>
        <v>8.4500000000000011</v>
      </c>
      <c r="L168" s="199">
        <f t="shared" si="71"/>
        <v>4.1618612409675677</v>
      </c>
      <c r="M168" s="200">
        <f t="shared" si="63"/>
        <v>0.20913537037406113</v>
      </c>
      <c r="N168" s="201">
        <f t="shared" si="64"/>
        <v>4.3709966113416288</v>
      </c>
      <c r="O168" s="200">
        <v>0</v>
      </c>
      <c r="P168" s="200">
        <v>0</v>
      </c>
      <c r="Q168" s="200">
        <v>0</v>
      </c>
      <c r="R168" s="201">
        <f t="shared" si="65"/>
        <v>4.3709966113416288</v>
      </c>
    </row>
    <row r="169" spans="1:19" x14ac:dyDescent="0.25">
      <c r="A169" s="153">
        <v>6</v>
      </c>
      <c r="B169" s="192">
        <f t="shared" si="61"/>
        <v>43617</v>
      </c>
      <c r="C169" s="216">
        <f t="shared" si="66"/>
        <v>43649</v>
      </c>
      <c r="D169" s="216">
        <f t="shared" si="66"/>
        <v>43664</v>
      </c>
      <c r="E169" s="224" t="s">
        <v>57</v>
      </c>
      <c r="F169" s="153">
        <v>9</v>
      </c>
      <c r="G169" s="195">
        <v>12</v>
      </c>
      <c r="H169" s="196">
        <f t="shared" si="70"/>
        <v>0.65</v>
      </c>
      <c r="I169" s="196">
        <f t="shared" si="60"/>
        <v>0.97014317238212067</v>
      </c>
      <c r="J169" s="197">
        <f t="shared" si="62"/>
        <v>11.641718068585448</v>
      </c>
      <c r="K169" s="198">
        <f t="shared" si="54"/>
        <v>7.8000000000000007</v>
      </c>
      <c r="L169" s="203">
        <f t="shared" si="71"/>
        <v>3.8417180685854468</v>
      </c>
      <c r="M169" s="200">
        <f t="shared" si="63"/>
        <v>0.19304803419144104</v>
      </c>
      <c r="N169" s="201">
        <f t="shared" si="64"/>
        <v>4.0347661027768877</v>
      </c>
      <c r="O169" s="200">
        <v>0</v>
      </c>
      <c r="P169" s="200">
        <v>0</v>
      </c>
      <c r="Q169" s="200">
        <v>0</v>
      </c>
      <c r="R169" s="201">
        <f t="shared" si="65"/>
        <v>4.0347661027768877</v>
      </c>
    </row>
    <row r="170" spans="1:19" x14ac:dyDescent="0.25">
      <c r="A170" s="116">
        <v>7</v>
      </c>
      <c r="B170" s="192">
        <f t="shared" si="61"/>
        <v>43647</v>
      </c>
      <c r="C170" s="216">
        <f t="shared" si="66"/>
        <v>43682</v>
      </c>
      <c r="D170" s="216">
        <f t="shared" si="66"/>
        <v>43697</v>
      </c>
      <c r="E170" s="224" t="s">
        <v>57</v>
      </c>
      <c r="F170" s="153">
        <v>9</v>
      </c>
      <c r="G170" s="195">
        <v>14</v>
      </c>
      <c r="H170" s="196">
        <f t="shared" si="70"/>
        <v>0.65</v>
      </c>
      <c r="I170" s="196">
        <f t="shared" si="60"/>
        <v>0.97014317238212067</v>
      </c>
      <c r="J170" s="197">
        <f t="shared" si="62"/>
        <v>13.58200441334969</v>
      </c>
      <c r="K170" s="204">
        <f t="shared" si="54"/>
        <v>9.1</v>
      </c>
      <c r="L170" s="203">
        <f t="shared" si="71"/>
        <v>4.4820044133496904</v>
      </c>
      <c r="M170" s="200">
        <f t="shared" si="63"/>
        <v>0.22522270655668122</v>
      </c>
      <c r="N170" s="201">
        <f t="shared" si="64"/>
        <v>4.7072271199063715</v>
      </c>
      <c r="O170" s="200">
        <v>0</v>
      </c>
      <c r="P170" s="200">
        <v>0</v>
      </c>
      <c r="Q170" s="200">
        <v>0</v>
      </c>
      <c r="R170" s="201">
        <f t="shared" si="65"/>
        <v>4.7072271199063715</v>
      </c>
    </row>
    <row r="171" spans="1:19" x14ac:dyDescent="0.25">
      <c r="A171" s="153">
        <v>8</v>
      </c>
      <c r="B171" s="192">
        <f t="shared" si="61"/>
        <v>43678</v>
      </c>
      <c r="C171" s="216">
        <f t="shared" si="66"/>
        <v>43712</v>
      </c>
      <c r="D171" s="216">
        <f t="shared" si="66"/>
        <v>43727</v>
      </c>
      <c r="E171" s="224" t="s">
        <v>57</v>
      </c>
      <c r="F171" s="116">
        <v>9</v>
      </c>
      <c r="G171" s="195">
        <v>16</v>
      </c>
      <c r="H171" s="196">
        <f t="shared" ref="H171:H175" si="72">$K$3</f>
        <v>0.65</v>
      </c>
      <c r="I171" s="196">
        <f t="shared" si="60"/>
        <v>0.97014317238212067</v>
      </c>
      <c r="J171" s="197">
        <f t="shared" si="62"/>
        <v>15.522290758113931</v>
      </c>
      <c r="K171" s="204">
        <f t="shared" si="54"/>
        <v>10.4</v>
      </c>
      <c r="L171" s="203">
        <f t="shared" si="71"/>
        <v>5.1222907581139303</v>
      </c>
      <c r="M171" s="200">
        <f t="shared" si="63"/>
        <v>0.25739737892192138</v>
      </c>
      <c r="N171" s="201">
        <f t="shared" si="64"/>
        <v>5.3796881370358518</v>
      </c>
      <c r="O171" s="200">
        <v>0</v>
      </c>
      <c r="P171" s="200">
        <v>0</v>
      </c>
      <c r="Q171" s="200">
        <v>0</v>
      </c>
      <c r="R171" s="201">
        <f t="shared" si="65"/>
        <v>5.3796881370358518</v>
      </c>
      <c r="S171" s="52"/>
    </row>
    <row r="172" spans="1:19" x14ac:dyDescent="0.25">
      <c r="A172" s="153">
        <v>9</v>
      </c>
      <c r="B172" s="192">
        <f t="shared" si="61"/>
        <v>43709</v>
      </c>
      <c r="C172" s="216">
        <f t="shared" ref="C172:D175" si="73">+C160</f>
        <v>43741</v>
      </c>
      <c r="D172" s="216">
        <f t="shared" si="73"/>
        <v>43756</v>
      </c>
      <c r="E172" s="224" t="s">
        <v>57</v>
      </c>
      <c r="F172" s="116">
        <v>9</v>
      </c>
      <c r="G172" s="195">
        <v>13</v>
      </c>
      <c r="H172" s="196">
        <f t="shared" si="72"/>
        <v>0.65</v>
      </c>
      <c r="I172" s="196">
        <f t="shared" si="60"/>
        <v>0.97014317238212067</v>
      </c>
      <c r="J172" s="197">
        <f t="shared" si="62"/>
        <v>12.611861240967569</v>
      </c>
      <c r="K172" s="204">
        <f t="shared" si="54"/>
        <v>8.4500000000000011</v>
      </c>
      <c r="L172" s="203">
        <f t="shared" si="71"/>
        <v>4.1618612409675677</v>
      </c>
      <c r="M172" s="200">
        <f t="shared" si="63"/>
        <v>0.20913537037406113</v>
      </c>
      <c r="N172" s="201">
        <f t="shared" si="64"/>
        <v>4.3709966113416288</v>
      </c>
      <c r="O172" s="200">
        <v>0</v>
      </c>
      <c r="P172" s="200">
        <v>0</v>
      </c>
      <c r="Q172" s="200">
        <v>0</v>
      </c>
      <c r="R172" s="201">
        <f t="shared" si="65"/>
        <v>4.3709966113416288</v>
      </c>
    </row>
    <row r="173" spans="1:19" x14ac:dyDescent="0.25">
      <c r="A173" s="116">
        <v>10</v>
      </c>
      <c r="B173" s="192">
        <f t="shared" si="61"/>
        <v>43739</v>
      </c>
      <c r="C173" s="216">
        <f t="shared" si="73"/>
        <v>43774</v>
      </c>
      <c r="D173" s="216">
        <f t="shared" si="73"/>
        <v>43789</v>
      </c>
      <c r="E173" s="224" t="s">
        <v>57</v>
      </c>
      <c r="F173" s="116">
        <v>9</v>
      </c>
      <c r="G173" s="195">
        <v>12</v>
      </c>
      <c r="H173" s="196">
        <f t="shared" si="72"/>
        <v>0.65</v>
      </c>
      <c r="I173" s="196">
        <f t="shared" si="60"/>
        <v>0.97014317238212067</v>
      </c>
      <c r="J173" s="197">
        <f t="shared" si="62"/>
        <v>11.641718068585448</v>
      </c>
      <c r="K173" s="204">
        <f t="shared" si="54"/>
        <v>7.8000000000000007</v>
      </c>
      <c r="L173" s="203">
        <f t="shared" si="71"/>
        <v>3.8417180685854468</v>
      </c>
      <c r="M173" s="200">
        <f t="shared" si="63"/>
        <v>0.19304803419144104</v>
      </c>
      <c r="N173" s="201">
        <f t="shared" si="64"/>
        <v>4.0347661027768877</v>
      </c>
      <c r="O173" s="200">
        <v>0</v>
      </c>
      <c r="P173" s="200">
        <v>0</v>
      </c>
      <c r="Q173" s="200">
        <v>0</v>
      </c>
      <c r="R173" s="201">
        <f t="shared" si="65"/>
        <v>4.0347661027768877</v>
      </c>
    </row>
    <row r="174" spans="1:19" x14ac:dyDescent="0.25">
      <c r="A174" s="153">
        <v>11</v>
      </c>
      <c r="B174" s="192">
        <f t="shared" si="61"/>
        <v>43770</v>
      </c>
      <c r="C174" s="216">
        <f t="shared" si="73"/>
        <v>43803</v>
      </c>
      <c r="D174" s="216">
        <f t="shared" si="73"/>
        <v>43818</v>
      </c>
      <c r="E174" s="224" t="s">
        <v>57</v>
      </c>
      <c r="F174" s="116">
        <v>9</v>
      </c>
      <c r="G174" s="195">
        <v>9</v>
      </c>
      <c r="H174" s="196">
        <f t="shared" si="72"/>
        <v>0.65</v>
      </c>
      <c r="I174" s="196">
        <f t="shared" si="60"/>
        <v>0.97014317238212067</v>
      </c>
      <c r="J174" s="197">
        <f t="shared" si="62"/>
        <v>8.7312885514390857</v>
      </c>
      <c r="K174" s="204">
        <f t="shared" si="54"/>
        <v>5.8500000000000005</v>
      </c>
      <c r="L174" s="203">
        <f t="shared" si="71"/>
        <v>2.8812885514390851</v>
      </c>
      <c r="M174" s="200">
        <f t="shared" si="63"/>
        <v>0.14478602564358078</v>
      </c>
      <c r="N174" s="201">
        <f t="shared" si="64"/>
        <v>3.026074577082666</v>
      </c>
      <c r="O174" s="200">
        <v>0</v>
      </c>
      <c r="P174" s="200">
        <v>0</v>
      </c>
      <c r="Q174" s="200">
        <v>0</v>
      </c>
      <c r="R174" s="201">
        <f t="shared" si="65"/>
        <v>3.026074577082666</v>
      </c>
    </row>
    <row r="175" spans="1:19" s="220" customFormat="1" x14ac:dyDescent="0.25">
      <c r="A175" s="153">
        <v>12</v>
      </c>
      <c r="B175" s="218">
        <f t="shared" si="61"/>
        <v>43800</v>
      </c>
      <c r="C175" s="216">
        <f t="shared" si="73"/>
        <v>43833</v>
      </c>
      <c r="D175" s="216">
        <f t="shared" si="73"/>
        <v>43850</v>
      </c>
      <c r="E175" s="225" t="s">
        <v>57</v>
      </c>
      <c r="F175" s="164">
        <v>9</v>
      </c>
      <c r="G175" s="207">
        <v>10</v>
      </c>
      <c r="H175" s="208">
        <f t="shared" si="72"/>
        <v>0.65</v>
      </c>
      <c r="I175" s="208">
        <f t="shared" si="60"/>
        <v>0.97014317238212067</v>
      </c>
      <c r="J175" s="209">
        <f t="shared" si="62"/>
        <v>9.7014317238212069</v>
      </c>
      <c r="K175" s="210">
        <f t="shared" si="54"/>
        <v>6.5</v>
      </c>
      <c r="L175" s="211">
        <f t="shared" si="71"/>
        <v>3.2014317238212069</v>
      </c>
      <c r="M175" s="200">
        <f t="shared" si="63"/>
        <v>0.16087336182620085</v>
      </c>
      <c r="N175" s="201">
        <f t="shared" si="64"/>
        <v>3.3623050856474079</v>
      </c>
      <c r="O175" s="200">
        <v>0</v>
      </c>
      <c r="P175" s="200">
        <v>0</v>
      </c>
      <c r="Q175" s="200">
        <v>0</v>
      </c>
      <c r="R175" s="201">
        <f t="shared" si="65"/>
        <v>3.3623050856474079</v>
      </c>
    </row>
    <row r="176" spans="1:19" x14ac:dyDescent="0.25">
      <c r="A176" s="116">
        <v>1</v>
      </c>
      <c r="B176" s="192">
        <f t="shared" si="61"/>
        <v>43466</v>
      </c>
      <c r="C176" s="213">
        <f t="shared" ref="C176:D187" si="74">+C152</f>
        <v>43501</v>
      </c>
      <c r="D176" s="213">
        <f t="shared" si="74"/>
        <v>43516</v>
      </c>
      <c r="E176" s="223" t="s">
        <v>58</v>
      </c>
      <c r="F176" s="153">
        <v>9</v>
      </c>
      <c r="G176" s="195">
        <v>22</v>
      </c>
      <c r="H176" s="196">
        <f t="shared" ref="H176:H182" si="75">+$K$6</f>
        <v>0.65</v>
      </c>
      <c r="I176" s="196">
        <f t="shared" si="60"/>
        <v>0.97014317238212067</v>
      </c>
      <c r="J176" s="197">
        <f t="shared" si="62"/>
        <v>21.343149792406656</v>
      </c>
      <c r="K176" s="198">
        <f t="shared" si="54"/>
        <v>14.3</v>
      </c>
      <c r="L176" s="199">
        <f t="shared" si="71"/>
        <v>7.0431497924066555</v>
      </c>
      <c r="M176" s="200">
        <f t="shared" si="63"/>
        <v>0.35392139601764189</v>
      </c>
      <c r="N176" s="201">
        <f t="shared" si="64"/>
        <v>7.397071188424297</v>
      </c>
      <c r="O176" s="200">
        <v>0</v>
      </c>
      <c r="P176" s="200">
        <v>0</v>
      </c>
      <c r="Q176" s="200">
        <v>0</v>
      </c>
      <c r="R176" s="201">
        <f t="shared" si="65"/>
        <v>7.397071188424297</v>
      </c>
    </row>
    <row r="177" spans="1:18" x14ac:dyDescent="0.25">
      <c r="A177" s="153">
        <v>2</v>
      </c>
      <c r="B177" s="192">
        <f t="shared" si="61"/>
        <v>43497</v>
      </c>
      <c r="C177" s="216">
        <f t="shared" si="74"/>
        <v>43529</v>
      </c>
      <c r="D177" s="216">
        <f t="shared" si="74"/>
        <v>43544</v>
      </c>
      <c r="E177" s="54" t="s">
        <v>58</v>
      </c>
      <c r="F177" s="153">
        <v>9</v>
      </c>
      <c r="G177" s="195">
        <v>20</v>
      </c>
      <c r="H177" s="196">
        <f t="shared" si="75"/>
        <v>0.65</v>
      </c>
      <c r="I177" s="196">
        <f t="shared" si="60"/>
        <v>0.97014317238212067</v>
      </c>
      <c r="J177" s="197">
        <f t="shared" si="62"/>
        <v>19.402863447642414</v>
      </c>
      <c r="K177" s="198">
        <f t="shared" si="54"/>
        <v>13</v>
      </c>
      <c r="L177" s="199">
        <f t="shared" si="71"/>
        <v>6.4028634476424138</v>
      </c>
      <c r="M177" s="200">
        <f t="shared" si="63"/>
        <v>0.3217467236524017</v>
      </c>
      <c r="N177" s="201">
        <f t="shared" si="64"/>
        <v>6.7246101712948159</v>
      </c>
      <c r="O177" s="200">
        <v>0</v>
      </c>
      <c r="P177" s="200">
        <v>0</v>
      </c>
      <c r="Q177" s="200">
        <v>0</v>
      </c>
      <c r="R177" s="201">
        <f t="shared" si="65"/>
        <v>6.7246101712948159</v>
      </c>
    </row>
    <row r="178" spans="1:18" x14ac:dyDescent="0.25">
      <c r="A178" s="153">
        <v>3</v>
      </c>
      <c r="B178" s="192">
        <f t="shared" si="61"/>
        <v>43525</v>
      </c>
      <c r="C178" s="216">
        <f t="shared" si="74"/>
        <v>43558</v>
      </c>
      <c r="D178" s="216">
        <f t="shared" si="74"/>
        <v>43573</v>
      </c>
      <c r="E178" s="54" t="s">
        <v>58</v>
      </c>
      <c r="F178" s="153">
        <v>9</v>
      </c>
      <c r="G178" s="195">
        <v>21</v>
      </c>
      <c r="H178" s="196">
        <f t="shared" si="75"/>
        <v>0.65</v>
      </c>
      <c r="I178" s="196">
        <f t="shared" si="60"/>
        <v>0.97014317238212067</v>
      </c>
      <c r="J178" s="197">
        <f t="shared" si="62"/>
        <v>20.373006620024533</v>
      </c>
      <c r="K178" s="198">
        <f t="shared" si="54"/>
        <v>13.65</v>
      </c>
      <c r="L178" s="199">
        <f>+J178-K178</f>
        <v>6.7230066200245329</v>
      </c>
      <c r="M178" s="200">
        <f t="shared" si="63"/>
        <v>0.33783405983502179</v>
      </c>
      <c r="N178" s="201">
        <f t="shared" si="64"/>
        <v>7.0608406798595542</v>
      </c>
      <c r="O178" s="200">
        <v>0</v>
      </c>
      <c r="P178" s="200">
        <v>0</v>
      </c>
      <c r="Q178" s="200">
        <v>0</v>
      </c>
      <c r="R178" s="201">
        <f t="shared" si="65"/>
        <v>7.0608406798595542</v>
      </c>
    </row>
    <row r="179" spans="1:18" x14ac:dyDescent="0.25">
      <c r="A179" s="116">
        <v>4</v>
      </c>
      <c r="B179" s="192">
        <f t="shared" si="61"/>
        <v>43556</v>
      </c>
      <c r="C179" s="216">
        <f t="shared" si="74"/>
        <v>43588</v>
      </c>
      <c r="D179" s="216">
        <f t="shared" si="74"/>
        <v>43605</v>
      </c>
      <c r="E179" s="54" t="s">
        <v>58</v>
      </c>
      <c r="F179" s="153">
        <v>9</v>
      </c>
      <c r="G179" s="195">
        <v>21</v>
      </c>
      <c r="H179" s="196">
        <f t="shared" si="75"/>
        <v>0.65</v>
      </c>
      <c r="I179" s="196">
        <f t="shared" si="60"/>
        <v>0.97014317238212067</v>
      </c>
      <c r="J179" s="197">
        <f t="shared" si="62"/>
        <v>20.373006620024533</v>
      </c>
      <c r="K179" s="198">
        <f t="shared" si="54"/>
        <v>13.65</v>
      </c>
      <c r="L179" s="199">
        <f t="shared" ref="L179:L189" si="76">+J179-K179</f>
        <v>6.7230066200245329</v>
      </c>
      <c r="M179" s="200">
        <f t="shared" si="63"/>
        <v>0.33783405983502179</v>
      </c>
      <c r="N179" s="201">
        <f t="shared" si="64"/>
        <v>7.0608406798595542</v>
      </c>
      <c r="O179" s="200">
        <v>0</v>
      </c>
      <c r="P179" s="200">
        <v>0</v>
      </c>
      <c r="Q179" s="200">
        <v>0</v>
      </c>
      <c r="R179" s="201">
        <f t="shared" si="65"/>
        <v>7.0608406798595542</v>
      </c>
    </row>
    <row r="180" spans="1:18" x14ac:dyDescent="0.25">
      <c r="A180" s="153">
        <v>5</v>
      </c>
      <c r="B180" s="192">
        <f t="shared" si="61"/>
        <v>43586</v>
      </c>
      <c r="C180" s="216">
        <f t="shared" si="74"/>
        <v>43621</v>
      </c>
      <c r="D180" s="216">
        <f t="shared" si="74"/>
        <v>43636</v>
      </c>
      <c r="E180" s="54" t="s">
        <v>58</v>
      </c>
      <c r="F180" s="153">
        <v>9</v>
      </c>
      <c r="G180" s="195">
        <v>30</v>
      </c>
      <c r="H180" s="196">
        <f t="shared" si="75"/>
        <v>0.65</v>
      </c>
      <c r="I180" s="196">
        <f t="shared" ref="I180:I211" si="77">$J$3</f>
        <v>0.97014317238212067</v>
      </c>
      <c r="J180" s="197">
        <f t="shared" si="62"/>
        <v>29.104295171463619</v>
      </c>
      <c r="K180" s="198">
        <f t="shared" si="54"/>
        <v>19.5</v>
      </c>
      <c r="L180" s="199">
        <f t="shared" si="76"/>
        <v>9.6042951714636189</v>
      </c>
      <c r="M180" s="200">
        <f t="shared" si="63"/>
        <v>0.48262008547860263</v>
      </c>
      <c r="N180" s="201">
        <f t="shared" si="64"/>
        <v>10.086915256942222</v>
      </c>
      <c r="O180" s="200">
        <v>0</v>
      </c>
      <c r="P180" s="200">
        <v>0</v>
      </c>
      <c r="Q180" s="200">
        <v>0</v>
      </c>
      <c r="R180" s="201">
        <f t="shared" si="65"/>
        <v>10.086915256942222</v>
      </c>
    </row>
    <row r="181" spans="1:18" x14ac:dyDescent="0.25">
      <c r="A181" s="153">
        <v>6</v>
      </c>
      <c r="B181" s="192">
        <f t="shared" si="61"/>
        <v>43617</v>
      </c>
      <c r="C181" s="216">
        <f t="shared" si="74"/>
        <v>43649</v>
      </c>
      <c r="D181" s="216">
        <f t="shared" si="74"/>
        <v>43664</v>
      </c>
      <c r="E181" s="54" t="s">
        <v>58</v>
      </c>
      <c r="F181" s="153">
        <v>9</v>
      </c>
      <c r="G181" s="195">
        <v>32</v>
      </c>
      <c r="H181" s="196">
        <f t="shared" si="75"/>
        <v>0.65</v>
      </c>
      <c r="I181" s="196">
        <f t="shared" si="77"/>
        <v>0.97014317238212067</v>
      </c>
      <c r="J181" s="197">
        <f t="shared" si="62"/>
        <v>31.044581516227861</v>
      </c>
      <c r="K181" s="198">
        <f t="shared" si="54"/>
        <v>20.8</v>
      </c>
      <c r="L181" s="203">
        <f t="shared" si="76"/>
        <v>10.244581516227861</v>
      </c>
      <c r="M181" s="200">
        <f t="shared" si="63"/>
        <v>0.51479475784384277</v>
      </c>
      <c r="N181" s="201">
        <f t="shared" si="64"/>
        <v>10.759376274071704</v>
      </c>
      <c r="O181" s="200">
        <v>0</v>
      </c>
      <c r="P181" s="200">
        <v>0</v>
      </c>
      <c r="Q181" s="200">
        <v>0</v>
      </c>
      <c r="R181" s="201">
        <f t="shared" si="65"/>
        <v>10.759376274071704</v>
      </c>
    </row>
    <row r="182" spans="1:18" x14ac:dyDescent="0.25">
      <c r="A182" s="116">
        <v>7</v>
      </c>
      <c r="B182" s="192">
        <f t="shared" si="61"/>
        <v>43647</v>
      </c>
      <c r="C182" s="216">
        <f t="shared" si="74"/>
        <v>43682</v>
      </c>
      <c r="D182" s="216">
        <f t="shared" si="74"/>
        <v>43697</v>
      </c>
      <c r="E182" s="54" t="s">
        <v>58</v>
      </c>
      <c r="F182" s="153">
        <v>9</v>
      </c>
      <c r="G182" s="195">
        <v>33</v>
      </c>
      <c r="H182" s="196">
        <f t="shared" si="75"/>
        <v>0.65</v>
      </c>
      <c r="I182" s="196">
        <f t="shared" si="77"/>
        <v>0.97014317238212067</v>
      </c>
      <c r="J182" s="197">
        <f t="shared" si="62"/>
        <v>32.014724688609981</v>
      </c>
      <c r="K182" s="204">
        <f t="shared" si="54"/>
        <v>21.45</v>
      </c>
      <c r="L182" s="203">
        <f t="shared" si="76"/>
        <v>10.564724688609981</v>
      </c>
      <c r="M182" s="200">
        <f t="shared" si="63"/>
        <v>0.53088209402646291</v>
      </c>
      <c r="N182" s="201">
        <f t="shared" si="64"/>
        <v>11.095606782636445</v>
      </c>
      <c r="O182" s="200">
        <v>0</v>
      </c>
      <c r="P182" s="200">
        <v>0</v>
      </c>
      <c r="Q182" s="200">
        <v>0</v>
      </c>
      <c r="R182" s="201">
        <f t="shared" si="65"/>
        <v>11.095606782636445</v>
      </c>
    </row>
    <row r="183" spans="1:18" x14ac:dyDescent="0.25">
      <c r="A183" s="153">
        <v>8</v>
      </c>
      <c r="B183" s="192">
        <f t="shared" si="61"/>
        <v>43678</v>
      </c>
      <c r="C183" s="216">
        <f t="shared" si="74"/>
        <v>43712</v>
      </c>
      <c r="D183" s="216">
        <f t="shared" si="74"/>
        <v>43727</v>
      </c>
      <c r="E183" s="54" t="s">
        <v>58</v>
      </c>
      <c r="F183" s="153">
        <v>9</v>
      </c>
      <c r="G183" s="195">
        <v>36</v>
      </c>
      <c r="H183" s="196">
        <f t="shared" ref="H183:H187" si="78">$K$3</f>
        <v>0.65</v>
      </c>
      <c r="I183" s="196">
        <f t="shared" si="77"/>
        <v>0.97014317238212067</v>
      </c>
      <c r="J183" s="197">
        <f t="shared" si="62"/>
        <v>34.925154205756343</v>
      </c>
      <c r="K183" s="204">
        <f t="shared" si="54"/>
        <v>23.400000000000002</v>
      </c>
      <c r="L183" s="203">
        <f t="shared" si="76"/>
        <v>11.525154205756341</v>
      </c>
      <c r="M183" s="200">
        <f t="shared" si="63"/>
        <v>0.57914410257432314</v>
      </c>
      <c r="N183" s="201">
        <f t="shared" si="64"/>
        <v>12.104298308330664</v>
      </c>
      <c r="O183" s="200">
        <v>0</v>
      </c>
      <c r="P183" s="200">
        <v>0</v>
      </c>
      <c r="Q183" s="200">
        <v>0</v>
      </c>
      <c r="R183" s="201">
        <f t="shared" si="65"/>
        <v>12.104298308330664</v>
      </c>
    </row>
    <row r="184" spans="1:18" x14ac:dyDescent="0.25">
      <c r="A184" s="153">
        <v>9</v>
      </c>
      <c r="B184" s="192">
        <f t="shared" si="61"/>
        <v>43709</v>
      </c>
      <c r="C184" s="216">
        <f t="shared" si="74"/>
        <v>43741</v>
      </c>
      <c r="D184" s="216">
        <f t="shared" si="74"/>
        <v>43756</v>
      </c>
      <c r="E184" s="54" t="s">
        <v>58</v>
      </c>
      <c r="F184" s="153">
        <v>9</v>
      </c>
      <c r="G184" s="195">
        <v>34</v>
      </c>
      <c r="H184" s="196">
        <f t="shared" si="78"/>
        <v>0.65</v>
      </c>
      <c r="I184" s="196">
        <f t="shared" si="77"/>
        <v>0.97014317238212067</v>
      </c>
      <c r="J184" s="197">
        <f t="shared" si="62"/>
        <v>32.984867860992104</v>
      </c>
      <c r="K184" s="204">
        <f t="shared" si="54"/>
        <v>22.1</v>
      </c>
      <c r="L184" s="203">
        <f t="shared" si="76"/>
        <v>10.884867860992102</v>
      </c>
      <c r="M184" s="200">
        <f t="shared" si="63"/>
        <v>0.54696943020908295</v>
      </c>
      <c r="N184" s="201">
        <f t="shared" si="64"/>
        <v>11.431837291201186</v>
      </c>
      <c r="O184" s="200">
        <v>0</v>
      </c>
      <c r="P184" s="200">
        <v>0</v>
      </c>
      <c r="Q184" s="200">
        <v>0</v>
      </c>
      <c r="R184" s="201">
        <f t="shared" si="65"/>
        <v>11.431837291201186</v>
      </c>
    </row>
    <row r="185" spans="1:18" x14ac:dyDescent="0.25">
      <c r="A185" s="116">
        <v>10</v>
      </c>
      <c r="B185" s="192">
        <f t="shared" si="61"/>
        <v>43739</v>
      </c>
      <c r="C185" s="216">
        <f t="shared" si="74"/>
        <v>43774</v>
      </c>
      <c r="D185" s="216">
        <f t="shared" si="74"/>
        <v>43789</v>
      </c>
      <c r="E185" s="54" t="s">
        <v>58</v>
      </c>
      <c r="F185" s="153">
        <v>9</v>
      </c>
      <c r="G185" s="195">
        <v>34</v>
      </c>
      <c r="H185" s="196">
        <f t="shared" si="78"/>
        <v>0.65</v>
      </c>
      <c r="I185" s="196">
        <f t="shared" si="77"/>
        <v>0.97014317238212067</v>
      </c>
      <c r="J185" s="197">
        <f t="shared" si="62"/>
        <v>32.984867860992104</v>
      </c>
      <c r="K185" s="204">
        <f t="shared" si="54"/>
        <v>22.1</v>
      </c>
      <c r="L185" s="203">
        <f t="shared" si="76"/>
        <v>10.884867860992102</v>
      </c>
      <c r="M185" s="200">
        <f t="shared" si="63"/>
        <v>0.54696943020908295</v>
      </c>
      <c r="N185" s="201">
        <f t="shared" si="64"/>
        <v>11.431837291201186</v>
      </c>
      <c r="O185" s="200">
        <v>0</v>
      </c>
      <c r="P185" s="200">
        <v>0</v>
      </c>
      <c r="Q185" s="200">
        <v>0</v>
      </c>
      <c r="R185" s="201">
        <f t="shared" si="65"/>
        <v>11.431837291201186</v>
      </c>
    </row>
    <row r="186" spans="1:18" x14ac:dyDescent="0.25">
      <c r="A186" s="153">
        <v>11</v>
      </c>
      <c r="B186" s="192">
        <f t="shared" si="61"/>
        <v>43770</v>
      </c>
      <c r="C186" s="216">
        <f t="shared" si="74"/>
        <v>43803</v>
      </c>
      <c r="D186" s="216">
        <f t="shared" si="74"/>
        <v>43818</v>
      </c>
      <c r="E186" s="54" t="s">
        <v>58</v>
      </c>
      <c r="F186" s="153">
        <v>9</v>
      </c>
      <c r="G186" s="195">
        <v>21</v>
      </c>
      <c r="H186" s="196">
        <f t="shared" si="78"/>
        <v>0.65</v>
      </c>
      <c r="I186" s="196">
        <f t="shared" si="77"/>
        <v>0.97014317238212067</v>
      </c>
      <c r="J186" s="197">
        <f t="shared" si="62"/>
        <v>20.373006620024533</v>
      </c>
      <c r="K186" s="204">
        <f t="shared" si="54"/>
        <v>13.65</v>
      </c>
      <c r="L186" s="203">
        <f t="shared" si="76"/>
        <v>6.7230066200245329</v>
      </c>
      <c r="M186" s="200">
        <f t="shared" si="63"/>
        <v>0.33783405983502179</v>
      </c>
      <c r="N186" s="201">
        <f t="shared" si="64"/>
        <v>7.0608406798595542</v>
      </c>
      <c r="O186" s="200">
        <v>0</v>
      </c>
      <c r="P186" s="200">
        <v>0</v>
      </c>
      <c r="Q186" s="200">
        <v>0</v>
      </c>
      <c r="R186" s="201">
        <f t="shared" si="65"/>
        <v>7.0608406798595542</v>
      </c>
    </row>
    <row r="187" spans="1:18" s="220" customFormat="1" x14ac:dyDescent="0.25">
      <c r="A187" s="153">
        <v>12</v>
      </c>
      <c r="B187" s="218">
        <f t="shared" si="61"/>
        <v>43800</v>
      </c>
      <c r="C187" s="216">
        <f t="shared" si="74"/>
        <v>43833</v>
      </c>
      <c r="D187" s="216">
        <f t="shared" si="74"/>
        <v>43850</v>
      </c>
      <c r="E187" s="219" t="s">
        <v>58</v>
      </c>
      <c r="F187" s="164">
        <v>9</v>
      </c>
      <c r="G187" s="207">
        <v>21</v>
      </c>
      <c r="H187" s="208">
        <f t="shared" si="78"/>
        <v>0.65</v>
      </c>
      <c r="I187" s="208">
        <f t="shared" si="77"/>
        <v>0.97014317238212067</v>
      </c>
      <c r="J187" s="209">
        <f t="shared" si="62"/>
        <v>20.373006620024533</v>
      </c>
      <c r="K187" s="210">
        <f t="shared" si="54"/>
        <v>13.65</v>
      </c>
      <c r="L187" s="211">
        <f t="shared" si="76"/>
        <v>6.7230066200245329</v>
      </c>
      <c r="M187" s="200">
        <f t="shared" si="63"/>
        <v>0.33783405983502179</v>
      </c>
      <c r="N187" s="201">
        <f t="shared" si="64"/>
        <v>7.0608406798595542</v>
      </c>
      <c r="O187" s="200">
        <v>0</v>
      </c>
      <c r="P187" s="200">
        <v>0</v>
      </c>
      <c r="Q187" s="200">
        <v>0</v>
      </c>
      <c r="R187" s="201">
        <f t="shared" si="65"/>
        <v>7.0608406798595542</v>
      </c>
    </row>
    <row r="188" spans="1:18" x14ac:dyDescent="0.25">
      <c r="A188" s="116">
        <v>1</v>
      </c>
      <c r="B188" s="192">
        <f t="shared" si="61"/>
        <v>43466</v>
      </c>
      <c r="C188" s="213">
        <f t="shared" ref="C188:D211" si="79">+C176</f>
        <v>43501</v>
      </c>
      <c r="D188" s="213">
        <f t="shared" si="79"/>
        <v>43516</v>
      </c>
      <c r="E188" s="194" t="s">
        <v>59</v>
      </c>
      <c r="F188" s="116">
        <v>9</v>
      </c>
      <c r="G188" s="195">
        <v>43</v>
      </c>
      <c r="H188" s="196">
        <f t="shared" ref="H188:H194" si="80">+$K$6</f>
        <v>0.65</v>
      </c>
      <c r="I188" s="196">
        <f t="shared" si="77"/>
        <v>0.97014317238212067</v>
      </c>
      <c r="J188" s="197">
        <f t="shared" si="62"/>
        <v>41.716156412431189</v>
      </c>
      <c r="K188" s="198">
        <f t="shared" si="54"/>
        <v>27.95</v>
      </c>
      <c r="L188" s="199">
        <f t="shared" si="76"/>
        <v>13.76615641243119</v>
      </c>
      <c r="M188" s="200">
        <f t="shared" si="63"/>
        <v>0.69175545585266374</v>
      </c>
      <c r="N188" s="201">
        <f t="shared" si="64"/>
        <v>14.457911868283855</v>
      </c>
      <c r="O188" s="200">
        <v>0</v>
      </c>
      <c r="P188" s="200">
        <v>0</v>
      </c>
      <c r="Q188" s="200">
        <v>0</v>
      </c>
      <c r="R188" s="201">
        <f t="shared" si="65"/>
        <v>14.457911868283855</v>
      </c>
    </row>
    <row r="189" spans="1:18" x14ac:dyDescent="0.25">
      <c r="A189" s="153">
        <v>2</v>
      </c>
      <c r="B189" s="192">
        <f t="shared" si="61"/>
        <v>43497</v>
      </c>
      <c r="C189" s="216">
        <f t="shared" si="79"/>
        <v>43529</v>
      </c>
      <c r="D189" s="216">
        <f t="shared" si="79"/>
        <v>43544</v>
      </c>
      <c r="E189" s="202" t="s">
        <v>59</v>
      </c>
      <c r="F189" s="153">
        <v>9</v>
      </c>
      <c r="G189" s="195">
        <v>42</v>
      </c>
      <c r="H189" s="196">
        <f t="shared" si="80"/>
        <v>0.65</v>
      </c>
      <c r="I189" s="196">
        <f t="shared" si="77"/>
        <v>0.97014317238212067</v>
      </c>
      <c r="J189" s="197">
        <f t="shared" si="62"/>
        <v>40.746013240049066</v>
      </c>
      <c r="K189" s="198">
        <f t="shared" si="54"/>
        <v>27.3</v>
      </c>
      <c r="L189" s="199">
        <f t="shared" si="76"/>
        <v>13.446013240049066</v>
      </c>
      <c r="M189" s="200">
        <f t="shared" si="63"/>
        <v>0.67566811967004359</v>
      </c>
      <c r="N189" s="201">
        <f t="shared" si="64"/>
        <v>14.121681359719108</v>
      </c>
      <c r="O189" s="200">
        <v>0</v>
      </c>
      <c r="P189" s="200">
        <v>0</v>
      </c>
      <c r="Q189" s="200">
        <v>0</v>
      </c>
      <c r="R189" s="201">
        <f t="shared" si="65"/>
        <v>14.121681359719108</v>
      </c>
    </row>
    <row r="190" spans="1:18" x14ac:dyDescent="0.25">
      <c r="A190" s="153">
        <v>3</v>
      </c>
      <c r="B190" s="192">
        <f t="shared" si="61"/>
        <v>43525</v>
      </c>
      <c r="C190" s="216">
        <f t="shared" si="79"/>
        <v>43558</v>
      </c>
      <c r="D190" s="216">
        <f t="shared" si="79"/>
        <v>43573</v>
      </c>
      <c r="E190" s="202" t="s">
        <v>59</v>
      </c>
      <c r="F190" s="153">
        <v>9</v>
      </c>
      <c r="G190" s="195">
        <v>42</v>
      </c>
      <c r="H190" s="196">
        <f t="shared" si="80"/>
        <v>0.65</v>
      </c>
      <c r="I190" s="196">
        <f t="shared" si="77"/>
        <v>0.97014317238212067</v>
      </c>
      <c r="J190" s="197">
        <f t="shared" si="62"/>
        <v>40.746013240049066</v>
      </c>
      <c r="K190" s="198">
        <f t="shared" si="54"/>
        <v>27.3</v>
      </c>
      <c r="L190" s="199">
        <f>+J190-K190</f>
        <v>13.446013240049066</v>
      </c>
      <c r="M190" s="200">
        <f t="shared" si="63"/>
        <v>0.67566811967004359</v>
      </c>
      <c r="N190" s="201">
        <f t="shared" si="64"/>
        <v>14.121681359719108</v>
      </c>
      <c r="O190" s="200">
        <v>0</v>
      </c>
      <c r="P190" s="200">
        <v>0</v>
      </c>
      <c r="Q190" s="200">
        <v>0</v>
      </c>
      <c r="R190" s="201">
        <f t="shared" si="65"/>
        <v>14.121681359719108</v>
      </c>
    </row>
    <row r="191" spans="1:18" x14ac:dyDescent="0.25">
      <c r="A191" s="116">
        <v>4</v>
      </c>
      <c r="B191" s="192">
        <f t="shared" si="61"/>
        <v>43556</v>
      </c>
      <c r="C191" s="216">
        <f t="shared" si="79"/>
        <v>43588</v>
      </c>
      <c r="D191" s="216">
        <f t="shared" si="79"/>
        <v>43605</v>
      </c>
      <c r="E191" s="54" t="s">
        <v>59</v>
      </c>
      <c r="F191" s="153">
        <v>9</v>
      </c>
      <c r="G191" s="195">
        <v>39</v>
      </c>
      <c r="H191" s="196">
        <f t="shared" si="80"/>
        <v>0.65</v>
      </c>
      <c r="I191" s="196">
        <f t="shared" si="77"/>
        <v>0.97014317238212067</v>
      </c>
      <c r="J191" s="197">
        <f t="shared" si="62"/>
        <v>37.835583722902705</v>
      </c>
      <c r="K191" s="198">
        <f t="shared" si="54"/>
        <v>25.35</v>
      </c>
      <c r="L191" s="199">
        <f t="shared" ref="L191:L201" si="81">+J191-K191</f>
        <v>12.485583722902703</v>
      </c>
      <c r="M191" s="200">
        <f t="shared" si="63"/>
        <v>0.62740611112218336</v>
      </c>
      <c r="N191" s="201">
        <f t="shared" si="64"/>
        <v>13.112989834024887</v>
      </c>
      <c r="O191" s="200">
        <v>0</v>
      </c>
      <c r="P191" s="200">
        <v>0</v>
      </c>
      <c r="Q191" s="200">
        <v>0</v>
      </c>
      <c r="R191" s="201">
        <f t="shared" si="65"/>
        <v>13.112989834024887</v>
      </c>
    </row>
    <row r="192" spans="1:18" x14ac:dyDescent="0.25">
      <c r="A192" s="153">
        <v>5</v>
      </c>
      <c r="B192" s="192">
        <f t="shared" si="61"/>
        <v>43586</v>
      </c>
      <c r="C192" s="216">
        <f t="shared" si="79"/>
        <v>43621</v>
      </c>
      <c r="D192" s="216">
        <f t="shared" si="79"/>
        <v>43636</v>
      </c>
      <c r="E192" s="54" t="s">
        <v>59</v>
      </c>
      <c r="F192" s="153">
        <v>9</v>
      </c>
      <c r="G192" s="195">
        <v>49</v>
      </c>
      <c r="H192" s="196">
        <f t="shared" si="80"/>
        <v>0.65</v>
      </c>
      <c r="I192" s="196">
        <f t="shared" si="77"/>
        <v>0.97014317238212067</v>
      </c>
      <c r="J192" s="197">
        <f t="shared" si="62"/>
        <v>47.537015446723913</v>
      </c>
      <c r="K192" s="198">
        <f t="shared" si="54"/>
        <v>31.85</v>
      </c>
      <c r="L192" s="199">
        <f t="shared" si="81"/>
        <v>15.687015446723912</v>
      </c>
      <c r="M192" s="200">
        <f t="shared" si="63"/>
        <v>0.78827947294838419</v>
      </c>
      <c r="N192" s="201">
        <f t="shared" si="64"/>
        <v>16.475294919672297</v>
      </c>
      <c r="O192" s="200">
        <v>0</v>
      </c>
      <c r="P192" s="200">
        <v>0</v>
      </c>
      <c r="Q192" s="200">
        <v>0</v>
      </c>
      <c r="R192" s="201">
        <f t="shared" si="65"/>
        <v>16.475294919672297</v>
      </c>
    </row>
    <row r="193" spans="1:18" x14ac:dyDescent="0.25">
      <c r="A193" s="153">
        <v>6</v>
      </c>
      <c r="B193" s="192">
        <f t="shared" si="61"/>
        <v>43617</v>
      </c>
      <c r="C193" s="216">
        <f t="shared" si="79"/>
        <v>43649</v>
      </c>
      <c r="D193" s="216">
        <f t="shared" si="79"/>
        <v>43664</v>
      </c>
      <c r="E193" s="54" t="s">
        <v>59</v>
      </c>
      <c r="F193" s="153">
        <v>9</v>
      </c>
      <c r="G193" s="195">
        <v>52</v>
      </c>
      <c r="H193" s="196">
        <f t="shared" si="80"/>
        <v>0.65</v>
      </c>
      <c r="I193" s="196">
        <f t="shared" si="77"/>
        <v>0.97014317238212067</v>
      </c>
      <c r="J193" s="197">
        <f t="shared" si="62"/>
        <v>50.447444963870275</v>
      </c>
      <c r="K193" s="198">
        <f t="shared" si="54"/>
        <v>33.800000000000004</v>
      </c>
      <c r="L193" s="203">
        <f t="shared" si="81"/>
        <v>16.647444963870271</v>
      </c>
      <c r="M193" s="200">
        <f t="shared" si="63"/>
        <v>0.83654148149624452</v>
      </c>
      <c r="N193" s="201">
        <f t="shared" si="64"/>
        <v>17.483986445366515</v>
      </c>
      <c r="O193" s="200">
        <v>0</v>
      </c>
      <c r="P193" s="200">
        <v>0</v>
      </c>
      <c r="Q193" s="200">
        <v>0</v>
      </c>
      <c r="R193" s="201">
        <f t="shared" si="65"/>
        <v>17.483986445366515</v>
      </c>
    </row>
    <row r="194" spans="1:18" x14ac:dyDescent="0.25">
      <c r="A194" s="116">
        <v>7</v>
      </c>
      <c r="B194" s="192">
        <f t="shared" si="61"/>
        <v>43647</v>
      </c>
      <c r="C194" s="216">
        <f t="shared" si="79"/>
        <v>43682</v>
      </c>
      <c r="D194" s="216">
        <f t="shared" si="79"/>
        <v>43697</v>
      </c>
      <c r="E194" s="54" t="s">
        <v>59</v>
      </c>
      <c r="F194" s="153">
        <v>9</v>
      </c>
      <c r="G194" s="195">
        <v>53</v>
      </c>
      <c r="H194" s="196">
        <f t="shared" si="80"/>
        <v>0.65</v>
      </c>
      <c r="I194" s="196">
        <f t="shared" si="77"/>
        <v>0.97014317238212067</v>
      </c>
      <c r="J194" s="197">
        <f t="shared" si="62"/>
        <v>51.417588136252398</v>
      </c>
      <c r="K194" s="204">
        <f t="shared" si="54"/>
        <v>34.450000000000003</v>
      </c>
      <c r="L194" s="203">
        <f t="shared" si="81"/>
        <v>16.967588136252395</v>
      </c>
      <c r="M194" s="200">
        <f t="shared" si="63"/>
        <v>0.85262881767886456</v>
      </c>
      <c r="N194" s="201">
        <f t="shared" si="64"/>
        <v>17.820216953931261</v>
      </c>
      <c r="O194" s="200">
        <v>0</v>
      </c>
      <c r="P194" s="200">
        <v>0</v>
      </c>
      <c r="Q194" s="200">
        <v>0</v>
      </c>
      <c r="R194" s="201">
        <f t="shared" si="65"/>
        <v>17.820216953931261</v>
      </c>
    </row>
    <row r="195" spans="1:18" x14ac:dyDescent="0.25">
      <c r="A195" s="153">
        <v>8</v>
      </c>
      <c r="B195" s="192">
        <f t="shared" si="61"/>
        <v>43678</v>
      </c>
      <c r="C195" s="216">
        <f t="shared" si="79"/>
        <v>43712</v>
      </c>
      <c r="D195" s="216">
        <f t="shared" si="79"/>
        <v>43727</v>
      </c>
      <c r="E195" s="54" t="s">
        <v>59</v>
      </c>
      <c r="F195" s="153">
        <v>9</v>
      </c>
      <c r="G195" s="195">
        <v>53</v>
      </c>
      <c r="H195" s="196">
        <f t="shared" ref="H195:H199" si="82">$K$3</f>
        <v>0.65</v>
      </c>
      <c r="I195" s="196">
        <f t="shared" si="77"/>
        <v>0.97014317238212067</v>
      </c>
      <c r="J195" s="197">
        <f t="shared" si="62"/>
        <v>51.417588136252398</v>
      </c>
      <c r="K195" s="204">
        <f t="shared" si="54"/>
        <v>34.450000000000003</v>
      </c>
      <c r="L195" s="203">
        <f t="shared" si="81"/>
        <v>16.967588136252395</v>
      </c>
      <c r="M195" s="200">
        <f t="shared" si="63"/>
        <v>0.85262881767886456</v>
      </c>
      <c r="N195" s="201">
        <f t="shared" si="64"/>
        <v>17.820216953931261</v>
      </c>
      <c r="O195" s="200">
        <v>0</v>
      </c>
      <c r="P195" s="200">
        <v>0</v>
      </c>
      <c r="Q195" s="200">
        <v>0</v>
      </c>
      <c r="R195" s="201">
        <f t="shared" si="65"/>
        <v>17.820216953931261</v>
      </c>
    </row>
    <row r="196" spans="1:18" x14ac:dyDescent="0.25">
      <c r="A196" s="153">
        <v>9</v>
      </c>
      <c r="B196" s="192">
        <f t="shared" si="61"/>
        <v>43709</v>
      </c>
      <c r="C196" s="216">
        <f t="shared" si="79"/>
        <v>43741</v>
      </c>
      <c r="D196" s="216">
        <f t="shared" si="79"/>
        <v>43756</v>
      </c>
      <c r="E196" s="54" t="s">
        <v>59</v>
      </c>
      <c r="F196" s="153">
        <v>9</v>
      </c>
      <c r="G196" s="195">
        <v>49</v>
      </c>
      <c r="H196" s="196">
        <f t="shared" si="82"/>
        <v>0.65</v>
      </c>
      <c r="I196" s="196">
        <f t="shared" si="77"/>
        <v>0.97014317238212067</v>
      </c>
      <c r="J196" s="197">
        <f t="shared" si="62"/>
        <v>47.537015446723913</v>
      </c>
      <c r="K196" s="204">
        <f t="shared" si="54"/>
        <v>31.85</v>
      </c>
      <c r="L196" s="203">
        <f t="shared" si="81"/>
        <v>15.687015446723912</v>
      </c>
      <c r="M196" s="200">
        <f t="shared" si="63"/>
        <v>0.78827947294838419</v>
      </c>
      <c r="N196" s="201">
        <f t="shared" si="64"/>
        <v>16.475294919672297</v>
      </c>
      <c r="O196" s="200">
        <v>0</v>
      </c>
      <c r="P196" s="200">
        <v>0</v>
      </c>
      <c r="Q196" s="200">
        <v>0</v>
      </c>
      <c r="R196" s="201">
        <f t="shared" si="65"/>
        <v>16.475294919672297</v>
      </c>
    </row>
    <row r="197" spans="1:18" x14ac:dyDescent="0.25">
      <c r="A197" s="116">
        <v>10</v>
      </c>
      <c r="B197" s="192">
        <f t="shared" si="61"/>
        <v>43739</v>
      </c>
      <c r="C197" s="216">
        <f t="shared" si="79"/>
        <v>43774</v>
      </c>
      <c r="D197" s="216">
        <f t="shared" si="79"/>
        <v>43789</v>
      </c>
      <c r="E197" s="54" t="s">
        <v>59</v>
      </c>
      <c r="F197" s="153">
        <v>9</v>
      </c>
      <c r="G197" s="195">
        <v>49</v>
      </c>
      <c r="H197" s="196">
        <f t="shared" si="82"/>
        <v>0.65</v>
      </c>
      <c r="I197" s="196">
        <f t="shared" si="77"/>
        <v>0.97014317238212067</v>
      </c>
      <c r="J197" s="197">
        <f t="shared" si="62"/>
        <v>47.537015446723913</v>
      </c>
      <c r="K197" s="204">
        <f t="shared" si="54"/>
        <v>31.85</v>
      </c>
      <c r="L197" s="203">
        <f t="shared" si="81"/>
        <v>15.687015446723912</v>
      </c>
      <c r="M197" s="200">
        <f t="shared" si="63"/>
        <v>0.78827947294838419</v>
      </c>
      <c r="N197" s="201">
        <f t="shared" si="64"/>
        <v>16.475294919672297</v>
      </c>
      <c r="O197" s="200">
        <v>0</v>
      </c>
      <c r="P197" s="200">
        <v>0</v>
      </c>
      <c r="Q197" s="200">
        <v>0</v>
      </c>
      <c r="R197" s="201">
        <f t="shared" si="65"/>
        <v>16.475294919672297</v>
      </c>
    </row>
    <row r="198" spans="1:18" x14ac:dyDescent="0.25">
      <c r="A198" s="153">
        <v>11</v>
      </c>
      <c r="B198" s="192">
        <f t="shared" si="61"/>
        <v>43770</v>
      </c>
      <c r="C198" s="216">
        <f t="shared" si="79"/>
        <v>43803</v>
      </c>
      <c r="D198" s="216">
        <f t="shared" si="79"/>
        <v>43818</v>
      </c>
      <c r="E198" s="54" t="s">
        <v>59</v>
      </c>
      <c r="F198" s="153">
        <v>9</v>
      </c>
      <c r="G198" s="195">
        <v>35</v>
      </c>
      <c r="H198" s="196">
        <f t="shared" si="82"/>
        <v>0.65</v>
      </c>
      <c r="I198" s="196">
        <f t="shared" si="77"/>
        <v>0.97014317238212067</v>
      </c>
      <c r="J198" s="197">
        <f t="shared" si="62"/>
        <v>33.955011033374227</v>
      </c>
      <c r="K198" s="204">
        <f t="shared" ref="K198:K209" si="83">+$G198*H198</f>
        <v>22.75</v>
      </c>
      <c r="L198" s="203">
        <f t="shared" si="81"/>
        <v>11.205011033374227</v>
      </c>
      <c r="M198" s="200">
        <f t="shared" si="63"/>
        <v>0.56305676639170299</v>
      </c>
      <c r="N198" s="201">
        <f t="shared" si="64"/>
        <v>11.76806779976593</v>
      </c>
      <c r="O198" s="200">
        <v>0</v>
      </c>
      <c r="P198" s="200">
        <v>0</v>
      </c>
      <c r="Q198" s="200">
        <v>0</v>
      </c>
      <c r="R198" s="201">
        <f t="shared" si="65"/>
        <v>11.76806779976593</v>
      </c>
    </row>
    <row r="199" spans="1:18" s="220" customFormat="1" x14ac:dyDescent="0.25">
      <c r="A199" s="153">
        <v>12</v>
      </c>
      <c r="B199" s="218">
        <f t="shared" si="61"/>
        <v>43800</v>
      </c>
      <c r="C199" s="216">
        <f t="shared" si="79"/>
        <v>43833</v>
      </c>
      <c r="D199" s="216">
        <f t="shared" si="79"/>
        <v>43850</v>
      </c>
      <c r="E199" s="219" t="s">
        <v>59</v>
      </c>
      <c r="F199" s="164">
        <v>9</v>
      </c>
      <c r="G199" s="207">
        <v>35</v>
      </c>
      <c r="H199" s="208">
        <f t="shared" si="82"/>
        <v>0.65</v>
      </c>
      <c r="I199" s="208">
        <f t="shared" si="77"/>
        <v>0.97014317238212067</v>
      </c>
      <c r="J199" s="209">
        <f t="shared" si="62"/>
        <v>33.955011033374227</v>
      </c>
      <c r="K199" s="210">
        <f t="shared" si="83"/>
        <v>22.75</v>
      </c>
      <c r="L199" s="211">
        <f t="shared" si="81"/>
        <v>11.205011033374227</v>
      </c>
      <c r="M199" s="200">
        <f t="shared" si="63"/>
        <v>0.56305676639170299</v>
      </c>
      <c r="N199" s="201">
        <f t="shared" si="64"/>
        <v>11.76806779976593</v>
      </c>
      <c r="O199" s="200">
        <v>0</v>
      </c>
      <c r="P199" s="200">
        <v>0</v>
      </c>
      <c r="Q199" s="200">
        <v>0</v>
      </c>
      <c r="R199" s="201">
        <f t="shared" si="65"/>
        <v>11.76806779976593</v>
      </c>
    </row>
    <row r="200" spans="1:18" x14ac:dyDescent="0.25">
      <c r="A200" s="116">
        <v>1</v>
      </c>
      <c r="B200" s="192">
        <f t="shared" si="61"/>
        <v>43466</v>
      </c>
      <c r="C200" s="213">
        <f t="shared" si="79"/>
        <v>43501</v>
      </c>
      <c r="D200" s="213">
        <f t="shared" si="79"/>
        <v>43516</v>
      </c>
      <c r="E200" s="194" t="s">
        <v>17</v>
      </c>
      <c r="F200" s="116">
        <v>9</v>
      </c>
      <c r="G200" s="195">
        <v>104</v>
      </c>
      <c r="H200" s="196">
        <f t="shared" ref="H200:H206" si="84">+$K$6</f>
        <v>0.65</v>
      </c>
      <c r="I200" s="196">
        <f t="shared" si="77"/>
        <v>0.97014317238212067</v>
      </c>
      <c r="J200" s="197">
        <f t="shared" si="62"/>
        <v>100.89488992774055</v>
      </c>
      <c r="K200" s="198">
        <f t="shared" si="83"/>
        <v>67.600000000000009</v>
      </c>
      <c r="L200" s="199">
        <f t="shared" si="81"/>
        <v>33.294889927740542</v>
      </c>
      <c r="M200" s="200">
        <f t="shared" si="63"/>
        <v>1.673082962992489</v>
      </c>
      <c r="N200" s="201">
        <f t="shared" si="64"/>
        <v>34.96797289073303</v>
      </c>
      <c r="O200" s="200">
        <v>0</v>
      </c>
      <c r="P200" s="200">
        <v>0</v>
      </c>
      <c r="Q200" s="200">
        <v>0</v>
      </c>
      <c r="R200" s="201">
        <f t="shared" si="65"/>
        <v>34.96797289073303</v>
      </c>
    </row>
    <row r="201" spans="1:18" x14ac:dyDescent="0.25">
      <c r="A201" s="153">
        <v>2</v>
      </c>
      <c r="B201" s="192">
        <f t="shared" si="61"/>
        <v>43497</v>
      </c>
      <c r="C201" s="216">
        <f t="shared" si="79"/>
        <v>43529</v>
      </c>
      <c r="D201" s="216">
        <f t="shared" si="79"/>
        <v>43544</v>
      </c>
      <c r="E201" s="202" t="s">
        <v>17</v>
      </c>
      <c r="F201" s="153">
        <v>9</v>
      </c>
      <c r="G201" s="195">
        <v>103</v>
      </c>
      <c r="H201" s="196">
        <f t="shared" si="84"/>
        <v>0.65</v>
      </c>
      <c r="I201" s="196">
        <f t="shared" si="77"/>
        <v>0.97014317238212067</v>
      </c>
      <c r="J201" s="197">
        <f t="shared" si="62"/>
        <v>99.924746755358427</v>
      </c>
      <c r="K201" s="198">
        <f t="shared" si="83"/>
        <v>66.95</v>
      </c>
      <c r="L201" s="199">
        <f t="shared" si="81"/>
        <v>32.974746755358424</v>
      </c>
      <c r="M201" s="200">
        <f t="shared" si="63"/>
        <v>1.6569956268098689</v>
      </c>
      <c r="N201" s="201">
        <f t="shared" si="64"/>
        <v>34.631742382168291</v>
      </c>
      <c r="O201" s="200">
        <v>0</v>
      </c>
      <c r="P201" s="200">
        <v>0</v>
      </c>
      <c r="Q201" s="200">
        <v>0</v>
      </c>
      <c r="R201" s="201">
        <f t="shared" si="65"/>
        <v>34.631742382168291</v>
      </c>
    </row>
    <row r="202" spans="1:18" x14ac:dyDescent="0.25">
      <c r="A202" s="153">
        <v>3</v>
      </c>
      <c r="B202" s="192">
        <f t="shared" si="61"/>
        <v>43525</v>
      </c>
      <c r="C202" s="216">
        <f t="shared" si="79"/>
        <v>43558</v>
      </c>
      <c r="D202" s="216">
        <f t="shared" si="79"/>
        <v>43573</v>
      </c>
      <c r="E202" s="202" t="s">
        <v>17</v>
      </c>
      <c r="F202" s="153">
        <v>9</v>
      </c>
      <c r="G202" s="195">
        <v>105</v>
      </c>
      <c r="H202" s="196">
        <f t="shared" si="84"/>
        <v>0.65</v>
      </c>
      <c r="I202" s="196">
        <f t="shared" si="77"/>
        <v>0.97014317238212067</v>
      </c>
      <c r="J202" s="197">
        <f t="shared" si="62"/>
        <v>101.86503310012267</v>
      </c>
      <c r="K202" s="198">
        <f t="shared" si="83"/>
        <v>68.25</v>
      </c>
      <c r="L202" s="199">
        <f>+J202-K202</f>
        <v>33.615033100122673</v>
      </c>
      <c r="M202" s="200">
        <f t="shared" si="63"/>
        <v>1.689170299175109</v>
      </c>
      <c r="N202" s="201">
        <f t="shared" si="64"/>
        <v>35.304203399297784</v>
      </c>
      <c r="O202" s="200">
        <v>0</v>
      </c>
      <c r="P202" s="200">
        <v>0</v>
      </c>
      <c r="Q202" s="200">
        <v>0</v>
      </c>
      <c r="R202" s="201">
        <f t="shared" si="65"/>
        <v>35.304203399297784</v>
      </c>
    </row>
    <row r="203" spans="1:18" x14ac:dyDescent="0.25">
      <c r="A203" s="116">
        <v>4</v>
      </c>
      <c r="B203" s="192">
        <f t="shared" si="61"/>
        <v>43556</v>
      </c>
      <c r="C203" s="216">
        <f t="shared" si="79"/>
        <v>43588</v>
      </c>
      <c r="D203" s="216">
        <f t="shared" si="79"/>
        <v>43605</v>
      </c>
      <c r="E203" s="202" t="s">
        <v>17</v>
      </c>
      <c r="F203" s="153">
        <v>9</v>
      </c>
      <c r="G203" s="195">
        <v>104</v>
      </c>
      <c r="H203" s="196">
        <f t="shared" si="84"/>
        <v>0.65</v>
      </c>
      <c r="I203" s="196">
        <f t="shared" si="77"/>
        <v>0.97014317238212067</v>
      </c>
      <c r="J203" s="197">
        <f t="shared" si="62"/>
        <v>100.89488992774055</v>
      </c>
      <c r="K203" s="198">
        <f t="shared" si="83"/>
        <v>67.600000000000009</v>
      </c>
      <c r="L203" s="199">
        <f t="shared" ref="L203:L211" si="85">+J203-K203</f>
        <v>33.294889927740542</v>
      </c>
      <c r="M203" s="200">
        <f t="shared" si="63"/>
        <v>1.673082962992489</v>
      </c>
      <c r="N203" s="201">
        <f t="shared" si="64"/>
        <v>34.96797289073303</v>
      </c>
      <c r="O203" s="200">
        <v>0</v>
      </c>
      <c r="P203" s="200">
        <v>0</v>
      </c>
      <c r="Q203" s="200">
        <v>0</v>
      </c>
      <c r="R203" s="201">
        <f t="shared" si="65"/>
        <v>34.96797289073303</v>
      </c>
    </row>
    <row r="204" spans="1:18" x14ac:dyDescent="0.25">
      <c r="A204" s="153">
        <v>5</v>
      </c>
      <c r="B204" s="192">
        <f t="shared" si="61"/>
        <v>43586</v>
      </c>
      <c r="C204" s="216">
        <f t="shared" si="79"/>
        <v>43621</v>
      </c>
      <c r="D204" s="216">
        <f t="shared" si="79"/>
        <v>43636</v>
      </c>
      <c r="E204" s="54" t="s">
        <v>17</v>
      </c>
      <c r="F204" s="153">
        <v>9</v>
      </c>
      <c r="G204" s="195">
        <v>106</v>
      </c>
      <c r="H204" s="196">
        <f t="shared" si="84"/>
        <v>0.65</v>
      </c>
      <c r="I204" s="196">
        <f t="shared" si="77"/>
        <v>0.97014317238212067</v>
      </c>
      <c r="J204" s="197">
        <f t="shared" si="62"/>
        <v>102.8351762725048</v>
      </c>
      <c r="K204" s="198">
        <f t="shared" si="83"/>
        <v>68.900000000000006</v>
      </c>
      <c r="L204" s="199">
        <f t="shared" si="85"/>
        <v>33.935176272504791</v>
      </c>
      <c r="M204" s="200">
        <f t="shared" si="63"/>
        <v>1.7052576353577291</v>
      </c>
      <c r="N204" s="201">
        <f t="shared" si="64"/>
        <v>35.640433907862523</v>
      </c>
      <c r="O204" s="200">
        <v>0</v>
      </c>
      <c r="P204" s="200">
        <v>0</v>
      </c>
      <c r="Q204" s="200">
        <v>0</v>
      </c>
      <c r="R204" s="201">
        <f t="shared" si="65"/>
        <v>35.640433907862523</v>
      </c>
    </row>
    <row r="205" spans="1:18" x14ac:dyDescent="0.25">
      <c r="A205" s="153">
        <v>6</v>
      </c>
      <c r="B205" s="192">
        <f t="shared" si="61"/>
        <v>43617</v>
      </c>
      <c r="C205" s="216">
        <f t="shared" si="79"/>
        <v>43649</v>
      </c>
      <c r="D205" s="216">
        <f t="shared" si="79"/>
        <v>43664</v>
      </c>
      <c r="E205" s="54" t="s">
        <v>17</v>
      </c>
      <c r="F205" s="153">
        <v>9</v>
      </c>
      <c r="G205" s="195">
        <v>100</v>
      </c>
      <c r="H205" s="196">
        <f t="shared" si="84"/>
        <v>0.65</v>
      </c>
      <c r="I205" s="196">
        <f t="shared" si="77"/>
        <v>0.97014317238212067</v>
      </c>
      <c r="J205" s="197">
        <f t="shared" si="62"/>
        <v>97.014317238212072</v>
      </c>
      <c r="K205" s="198">
        <f t="shared" si="83"/>
        <v>65</v>
      </c>
      <c r="L205" s="203">
        <f t="shared" si="85"/>
        <v>32.014317238212072</v>
      </c>
      <c r="M205" s="200">
        <f t="shared" si="63"/>
        <v>1.6087336182620087</v>
      </c>
      <c r="N205" s="201">
        <f t="shared" si="64"/>
        <v>33.62305085647408</v>
      </c>
      <c r="O205" s="200">
        <v>0</v>
      </c>
      <c r="P205" s="200">
        <v>0</v>
      </c>
      <c r="Q205" s="200">
        <v>0</v>
      </c>
      <c r="R205" s="201">
        <f t="shared" si="65"/>
        <v>33.62305085647408</v>
      </c>
    </row>
    <row r="206" spans="1:18" x14ac:dyDescent="0.25">
      <c r="A206" s="116">
        <v>7</v>
      </c>
      <c r="B206" s="192">
        <f t="shared" si="61"/>
        <v>43647</v>
      </c>
      <c r="C206" s="216">
        <f t="shared" si="79"/>
        <v>43682</v>
      </c>
      <c r="D206" s="216">
        <f t="shared" si="79"/>
        <v>43697</v>
      </c>
      <c r="E206" s="54" t="s">
        <v>17</v>
      </c>
      <c r="F206" s="153">
        <v>9</v>
      </c>
      <c r="G206" s="195">
        <v>117</v>
      </c>
      <c r="H206" s="196">
        <f t="shared" si="84"/>
        <v>0.65</v>
      </c>
      <c r="I206" s="196">
        <f t="shared" si="77"/>
        <v>0.97014317238212067</v>
      </c>
      <c r="J206" s="197">
        <f t="shared" si="62"/>
        <v>113.50675116870812</v>
      </c>
      <c r="K206" s="204">
        <f t="shared" si="83"/>
        <v>76.05</v>
      </c>
      <c r="L206" s="203">
        <f t="shared" si="85"/>
        <v>37.456751168708124</v>
      </c>
      <c r="M206" s="200">
        <f t="shared" si="63"/>
        <v>1.8822183333665499</v>
      </c>
      <c r="N206" s="201">
        <f t="shared" si="64"/>
        <v>39.338969502074676</v>
      </c>
      <c r="O206" s="200">
        <v>0</v>
      </c>
      <c r="P206" s="200">
        <v>0</v>
      </c>
      <c r="Q206" s="200">
        <v>0</v>
      </c>
      <c r="R206" s="201">
        <f t="shared" si="65"/>
        <v>39.338969502074676</v>
      </c>
    </row>
    <row r="207" spans="1:18" x14ac:dyDescent="0.25">
      <c r="A207" s="153">
        <v>8</v>
      </c>
      <c r="B207" s="192">
        <f t="shared" si="61"/>
        <v>43678</v>
      </c>
      <c r="C207" s="216">
        <f t="shared" si="79"/>
        <v>43712</v>
      </c>
      <c r="D207" s="216">
        <f t="shared" si="79"/>
        <v>43727</v>
      </c>
      <c r="E207" s="54" t="s">
        <v>17</v>
      </c>
      <c r="F207" s="153">
        <v>9</v>
      </c>
      <c r="G207" s="195">
        <v>116</v>
      </c>
      <c r="H207" s="196">
        <f t="shared" ref="H207:H211" si="86">$K$3</f>
        <v>0.65</v>
      </c>
      <c r="I207" s="196">
        <f t="shared" si="77"/>
        <v>0.97014317238212067</v>
      </c>
      <c r="J207" s="197">
        <f t="shared" si="62"/>
        <v>112.536607996326</v>
      </c>
      <c r="K207" s="204">
        <f t="shared" si="83"/>
        <v>75.400000000000006</v>
      </c>
      <c r="L207" s="203">
        <f t="shared" si="85"/>
        <v>37.136607996325992</v>
      </c>
      <c r="M207" s="200">
        <f t="shared" si="63"/>
        <v>1.8661309971839302</v>
      </c>
      <c r="N207" s="201">
        <f t="shared" si="64"/>
        <v>39.002738993509922</v>
      </c>
      <c r="O207" s="200">
        <v>0</v>
      </c>
      <c r="P207" s="200">
        <v>0</v>
      </c>
      <c r="Q207" s="200">
        <v>0</v>
      </c>
      <c r="R207" s="201">
        <f t="shared" si="65"/>
        <v>39.002738993509922</v>
      </c>
    </row>
    <row r="208" spans="1:18" x14ac:dyDescent="0.25">
      <c r="A208" s="153">
        <v>9</v>
      </c>
      <c r="B208" s="192">
        <f t="shared" si="61"/>
        <v>43709</v>
      </c>
      <c r="C208" s="216">
        <f t="shared" si="79"/>
        <v>43741</v>
      </c>
      <c r="D208" s="216">
        <f t="shared" si="79"/>
        <v>43756</v>
      </c>
      <c r="E208" s="54" t="s">
        <v>17</v>
      </c>
      <c r="F208" s="153">
        <v>9</v>
      </c>
      <c r="G208" s="195">
        <v>113</v>
      </c>
      <c r="H208" s="196">
        <f t="shared" si="86"/>
        <v>0.65</v>
      </c>
      <c r="I208" s="196">
        <f t="shared" si="77"/>
        <v>0.97014317238212067</v>
      </c>
      <c r="J208" s="197">
        <f t="shared" si="62"/>
        <v>109.62617847917963</v>
      </c>
      <c r="K208" s="204">
        <f t="shared" si="83"/>
        <v>73.45</v>
      </c>
      <c r="L208" s="203">
        <f t="shared" si="85"/>
        <v>36.176178479179626</v>
      </c>
      <c r="M208" s="200">
        <f t="shared" si="63"/>
        <v>1.8178689886360695</v>
      </c>
      <c r="N208" s="201">
        <f t="shared" si="64"/>
        <v>37.994047467815697</v>
      </c>
      <c r="O208" s="200">
        <v>0</v>
      </c>
      <c r="P208" s="200">
        <v>0</v>
      </c>
      <c r="Q208" s="200">
        <v>0</v>
      </c>
      <c r="R208" s="201">
        <f t="shared" si="65"/>
        <v>37.994047467815697</v>
      </c>
    </row>
    <row r="209" spans="1:18" x14ac:dyDescent="0.25">
      <c r="A209" s="116">
        <v>10</v>
      </c>
      <c r="B209" s="192">
        <f t="shared" si="61"/>
        <v>43739</v>
      </c>
      <c r="C209" s="216">
        <f t="shared" si="79"/>
        <v>43774</v>
      </c>
      <c r="D209" s="216">
        <f t="shared" si="79"/>
        <v>43789</v>
      </c>
      <c r="E209" s="54" t="s">
        <v>17</v>
      </c>
      <c r="F209" s="153">
        <v>9</v>
      </c>
      <c r="G209" s="195">
        <v>113</v>
      </c>
      <c r="H209" s="196">
        <f t="shared" si="86"/>
        <v>0.65</v>
      </c>
      <c r="I209" s="196">
        <f t="shared" si="77"/>
        <v>0.97014317238212067</v>
      </c>
      <c r="J209" s="197">
        <f t="shared" si="62"/>
        <v>109.62617847917963</v>
      </c>
      <c r="K209" s="204">
        <f t="shared" si="83"/>
        <v>73.45</v>
      </c>
      <c r="L209" s="203">
        <f t="shared" si="85"/>
        <v>36.176178479179626</v>
      </c>
      <c r="M209" s="200">
        <f t="shared" si="63"/>
        <v>1.8178689886360695</v>
      </c>
      <c r="N209" s="201">
        <f t="shared" si="64"/>
        <v>37.994047467815697</v>
      </c>
      <c r="O209" s="200">
        <v>0</v>
      </c>
      <c r="P209" s="200">
        <v>0</v>
      </c>
      <c r="Q209" s="200">
        <v>0</v>
      </c>
      <c r="R209" s="201">
        <f t="shared" si="65"/>
        <v>37.994047467815697</v>
      </c>
    </row>
    <row r="210" spans="1:18" x14ac:dyDescent="0.25">
      <c r="A210" s="153">
        <v>11</v>
      </c>
      <c r="B210" s="192">
        <f t="shared" si="61"/>
        <v>43770</v>
      </c>
      <c r="C210" s="216">
        <f t="shared" si="79"/>
        <v>43803</v>
      </c>
      <c r="D210" s="216">
        <f t="shared" si="79"/>
        <v>43818</v>
      </c>
      <c r="E210" s="54" t="s">
        <v>17</v>
      </c>
      <c r="F210" s="153">
        <v>9</v>
      </c>
      <c r="G210" s="195">
        <v>104</v>
      </c>
      <c r="H210" s="196">
        <f t="shared" si="86"/>
        <v>0.65</v>
      </c>
      <c r="I210" s="196">
        <f t="shared" si="77"/>
        <v>0.97014317238212067</v>
      </c>
      <c r="J210" s="197">
        <f t="shared" si="62"/>
        <v>100.89488992774055</v>
      </c>
      <c r="K210" s="204">
        <f>+$G210*H210</f>
        <v>67.600000000000009</v>
      </c>
      <c r="L210" s="203">
        <f t="shared" si="85"/>
        <v>33.294889927740542</v>
      </c>
      <c r="M210" s="200">
        <f t="shared" si="63"/>
        <v>1.673082962992489</v>
      </c>
      <c r="N210" s="201">
        <f t="shared" si="64"/>
        <v>34.96797289073303</v>
      </c>
      <c r="O210" s="200">
        <v>0</v>
      </c>
      <c r="P210" s="200">
        <v>0</v>
      </c>
      <c r="Q210" s="200">
        <v>0</v>
      </c>
      <c r="R210" s="201">
        <f t="shared" si="65"/>
        <v>34.96797289073303</v>
      </c>
    </row>
    <row r="211" spans="1:18" s="220" customFormat="1" x14ac:dyDescent="0.25">
      <c r="A211" s="153">
        <v>12</v>
      </c>
      <c r="B211" s="218">
        <f t="shared" si="61"/>
        <v>43800</v>
      </c>
      <c r="C211" s="221">
        <f t="shared" si="79"/>
        <v>43833</v>
      </c>
      <c r="D211" s="221">
        <f t="shared" si="79"/>
        <v>43850</v>
      </c>
      <c r="E211" s="219" t="s">
        <v>17</v>
      </c>
      <c r="F211" s="164">
        <v>9</v>
      </c>
      <c r="G211" s="207">
        <v>41</v>
      </c>
      <c r="H211" s="208">
        <f t="shared" si="86"/>
        <v>0.65</v>
      </c>
      <c r="I211" s="208">
        <f t="shared" si="77"/>
        <v>0.97014317238212067</v>
      </c>
      <c r="J211" s="209">
        <f t="shared" si="62"/>
        <v>39.775870067666951</v>
      </c>
      <c r="K211" s="210">
        <f>+$G211*H211</f>
        <v>26.650000000000002</v>
      </c>
      <c r="L211" s="211">
        <f t="shared" si="85"/>
        <v>13.125870067666948</v>
      </c>
      <c r="M211" s="209">
        <f t="shared" si="63"/>
        <v>0.65958078348742355</v>
      </c>
      <c r="N211" s="201">
        <f t="shared" si="64"/>
        <v>13.785450851154373</v>
      </c>
      <c r="O211" s="200">
        <v>0</v>
      </c>
      <c r="P211" s="200">
        <v>0</v>
      </c>
      <c r="Q211" s="200">
        <v>0</v>
      </c>
      <c r="R211" s="201">
        <f t="shared" si="65"/>
        <v>13.785450851154373</v>
      </c>
    </row>
    <row r="212" spans="1:18" x14ac:dyDescent="0.25">
      <c r="G212" s="226">
        <f>SUM(G20:G211)</f>
        <v>103218</v>
      </c>
      <c r="H212" s="51"/>
      <c r="I212" s="51"/>
      <c r="J212" s="51">
        <f>SUM(J20:J211)</f>
        <v>100136.23796693771</v>
      </c>
      <c r="K212" s="51">
        <f>SUM(K20:K211)</f>
        <v>67091.700000000012</v>
      </c>
      <c r="L212" s="51">
        <f>SUM(L20:L211)</f>
        <v>33044.537966937722</v>
      </c>
      <c r="M212" s="51">
        <f>SUM(M20:M211)</f>
        <v>1660.5026660976823</v>
      </c>
      <c r="N212" s="51"/>
      <c r="O212" s="51"/>
      <c r="P212" s="51">
        <f>SUM(P20:P211)</f>
        <v>0</v>
      </c>
      <c r="Q212" s="51"/>
      <c r="R212" s="227">
        <f>SUM(R20:R211)</f>
        <v>34705.040633035373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C01AC61A-5832-44F3-94DB-121841192B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2020-07-01T18:52:02Z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